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rbane_DATA\06_Support-Produit\07_TOOLS\APG_UMCalc\"/>
    </mc:Choice>
  </mc:AlternateContent>
  <xr:revisionPtr revIDLastSave="0" documentId="13_ncr:1_{589FC18B-644C-4271-9DA0-E68C00D10B08}" xr6:coauthVersionLast="47" xr6:coauthVersionMax="47" xr10:uidLastSave="{00000000-0000-0000-0000-000000000000}"/>
  <bookViews>
    <workbookView xWindow="-120" yWindow="-120" windowWidth="38640" windowHeight="21120" activeTab="2" xr2:uid="{1BB92BB3-0C7C-480B-AEEB-C1A8CBDFC8C3}"/>
  </bookViews>
  <sheets>
    <sheet name="FR- Notice" sheetId="17" r:id="rId1"/>
    <sheet name="EN-User Manual" sheetId="16" r:id="rId2"/>
    <sheet name="UMCalc" sheetId="12" r:id="rId3"/>
    <sheet name="CablesWeight" sheetId="14" r:id="rId4"/>
    <sheet name="CablesWeightData" sheetId="15" r:id="rId5"/>
  </sheets>
  <definedNames>
    <definedName name="b">#REF!</definedName>
    <definedName name="e">#REF!</definedName>
    <definedName name="h">#REF!</definedName>
    <definedName name="UM121_">#REF!</definedName>
    <definedName name="UM210_">#REF!</definedName>
    <definedName name="UMTRUSS">#REF!</definedName>
    <definedName name="_xlnm.Print_Area" localSheetId="3">CablesWeight!$A$1:$G$23</definedName>
    <definedName name="_xlnm.Print_Area" localSheetId="4">CablesWeightData!$C$14</definedName>
    <definedName name="_xlnm.Print_Area" localSheetId="2">UMCalc!$A$1:$K$38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" i="12" l="1"/>
  <c r="C48" i="12"/>
  <c r="C16" i="14" l="1"/>
  <c r="C17" i="14"/>
  <c r="C15" i="14"/>
  <c r="C13" i="14"/>
  <c r="C14" i="14"/>
  <c r="C12" i="14"/>
  <c r="C10" i="14"/>
  <c r="C11" i="14"/>
  <c r="C9" i="14"/>
  <c r="C7" i="14"/>
  <c r="C6" i="14"/>
  <c r="C5" i="14"/>
  <c r="C4" i="14"/>
  <c r="C8" i="14"/>
  <c r="C20" i="14"/>
  <c r="F6" i="15"/>
  <c r="F7" i="15"/>
  <c r="F8" i="15"/>
  <c r="F9" i="15"/>
  <c r="E6" i="15"/>
  <c r="E7" i="15"/>
  <c r="E8" i="15"/>
  <c r="E9" i="15"/>
  <c r="F5" i="15"/>
  <c r="E5" i="15"/>
  <c r="D6" i="15"/>
  <c r="D7" i="15"/>
  <c r="D8" i="15"/>
  <c r="D9" i="15"/>
  <c r="D5" i="15"/>
  <c r="C6" i="15"/>
  <c r="C7" i="15"/>
  <c r="C8" i="15"/>
  <c r="C9" i="15"/>
  <c r="C5" i="15"/>
  <c r="AD44" i="12"/>
  <c r="AB44" i="12"/>
  <c r="AD43" i="12"/>
  <c r="AC27" i="12"/>
  <c r="C22" i="14" l="1"/>
  <c r="C34" i="12" s="1"/>
  <c r="U54" i="12"/>
  <c r="J6" i="12"/>
  <c r="J7" i="12"/>
  <c r="J8" i="12"/>
  <c r="J9" i="12"/>
  <c r="J10" i="12"/>
  <c r="J11" i="12"/>
  <c r="J12" i="12"/>
  <c r="J13" i="12"/>
  <c r="J14" i="12"/>
  <c r="J15" i="12"/>
  <c r="J16" i="12"/>
  <c r="J17" i="12"/>
  <c r="J18" i="12"/>
  <c r="J19" i="12"/>
  <c r="J20" i="12"/>
  <c r="J21" i="12"/>
  <c r="J22" i="12"/>
  <c r="P6" i="12"/>
  <c r="P7" i="12" s="1"/>
  <c r="P8" i="12" s="1"/>
  <c r="P9" i="12" s="1"/>
  <c r="P10" i="12" s="1"/>
  <c r="P11" i="12" s="1"/>
  <c r="P12" i="12" s="1"/>
  <c r="P13" i="12" s="1"/>
  <c r="P14" i="12" s="1"/>
  <c r="P15" i="12" s="1"/>
  <c r="P16" i="12" s="1"/>
  <c r="P17" i="12" s="1"/>
  <c r="P18" i="12" s="1"/>
  <c r="P19" i="12" s="1"/>
  <c r="P20" i="12" s="1"/>
  <c r="P21" i="12" s="1"/>
  <c r="P22" i="12" s="1"/>
  <c r="G22" i="12"/>
  <c r="H22" i="12"/>
  <c r="O22" i="12"/>
  <c r="Q22" i="12" s="1"/>
  <c r="N22" i="12"/>
  <c r="M22" i="12"/>
  <c r="L22" i="12"/>
  <c r="K22" i="12"/>
  <c r="I22" i="12"/>
  <c r="O21" i="12"/>
  <c r="N21" i="12"/>
  <c r="M21" i="12"/>
  <c r="L21" i="12"/>
  <c r="K21" i="12"/>
  <c r="I21" i="12"/>
  <c r="H21" i="12"/>
  <c r="G21" i="12"/>
  <c r="O20" i="12"/>
  <c r="N20" i="12"/>
  <c r="M20" i="12"/>
  <c r="L20" i="12"/>
  <c r="K20" i="12"/>
  <c r="I20" i="12"/>
  <c r="H20" i="12"/>
  <c r="G20" i="12"/>
  <c r="O19" i="12"/>
  <c r="N19" i="12"/>
  <c r="M19" i="12"/>
  <c r="L19" i="12"/>
  <c r="K19" i="12"/>
  <c r="I19" i="12"/>
  <c r="H19" i="12"/>
  <c r="G19" i="12"/>
  <c r="O18" i="12"/>
  <c r="N18" i="12"/>
  <c r="M18" i="12"/>
  <c r="L18" i="12"/>
  <c r="K18" i="12"/>
  <c r="I18" i="12"/>
  <c r="H18" i="12"/>
  <c r="G18" i="12"/>
  <c r="O17" i="12"/>
  <c r="N17" i="12"/>
  <c r="M17" i="12"/>
  <c r="L17" i="12"/>
  <c r="K17" i="12"/>
  <c r="I17" i="12"/>
  <c r="H17" i="12"/>
  <c r="G17" i="12"/>
  <c r="O16" i="12"/>
  <c r="N16" i="12"/>
  <c r="M16" i="12"/>
  <c r="L16" i="12"/>
  <c r="K16" i="12"/>
  <c r="I16" i="12"/>
  <c r="H16" i="12"/>
  <c r="G16" i="12"/>
  <c r="O15" i="12"/>
  <c r="N15" i="12"/>
  <c r="M15" i="12"/>
  <c r="L15" i="12"/>
  <c r="K15" i="12"/>
  <c r="I15" i="12"/>
  <c r="H15" i="12"/>
  <c r="G15" i="12"/>
  <c r="O14" i="12"/>
  <c r="N14" i="12"/>
  <c r="M14" i="12"/>
  <c r="L14" i="12"/>
  <c r="K14" i="12"/>
  <c r="I14" i="12"/>
  <c r="H14" i="12"/>
  <c r="G14" i="12"/>
  <c r="O13" i="12"/>
  <c r="N13" i="12"/>
  <c r="M13" i="12"/>
  <c r="L13" i="12"/>
  <c r="K13" i="12"/>
  <c r="I13" i="12"/>
  <c r="H13" i="12"/>
  <c r="G13" i="12"/>
  <c r="O12" i="12"/>
  <c r="N12" i="12"/>
  <c r="M12" i="12"/>
  <c r="L12" i="12"/>
  <c r="K12" i="12"/>
  <c r="I12" i="12"/>
  <c r="H12" i="12"/>
  <c r="G12" i="12"/>
  <c r="O11" i="12"/>
  <c r="N11" i="12"/>
  <c r="M11" i="12"/>
  <c r="L11" i="12"/>
  <c r="K11" i="12"/>
  <c r="I11" i="12"/>
  <c r="H11" i="12"/>
  <c r="G11" i="12"/>
  <c r="O10" i="12"/>
  <c r="N10" i="12"/>
  <c r="M10" i="12"/>
  <c r="L10" i="12"/>
  <c r="K10" i="12"/>
  <c r="I10" i="12"/>
  <c r="H10" i="12"/>
  <c r="G10" i="12"/>
  <c r="O9" i="12"/>
  <c r="N9" i="12"/>
  <c r="M9" i="12"/>
  <c r="L9" i="12"/>
  <c r="K9" i="12"/>
  <c r="I9" i="12"/>
  <c r="H9" i="12"/>
  <c r="G9" i="12"/>
  <c r="O8" i="12"/>
  <c r="N8" i="12"/>
  <c r="M8" i="12"/>
  <c r="L8" i="12"/>
  <c r="K8" i="12"/>
  <c r="I8" i="12"/>
  <c r="H8" i="12"/>
  <c r="G8" i="12"/>
  <c r="O7" i="12"/>
  <c r="N7" i="12"/>
  <c r="M7" i="12"/>
  <c r="L7" i="12"/>
  <c r="K7" i="12"/>
  <c r="I7" i="12"/>
  <c r="H7" i="12"/>
  <c r="G7" i="12"/>
  <c r="O6" i="12"/>
  <c r="N6" i="12"/>
  <c r="M6" i="12"/>
  <c r="L6" i="12"/>
  <c r="K6" i="12"/>
  <c r="I6" i="12"/>
  <c r="H6" i="12"/>
  <c r="G6" i="12"/>
  <c r="O5" i="12"/>
  <c r="N5" i="12"/>
  <c r="M5" i="12"/>
  <c r="L5" i="12"/>
  <c r="K5" i="12"/>
  <c r="J5" i="12"/>
  <c r="I5" i="12"/>
  <c r="H5" i="12"/>
  <c r="G5" i="12"/>
  <c r="BG22" i="12"/>
  <c r="BG21" i="12"/>
  <c r="BG20" i="12"/>
  <c r="BG19" i="12"/>
  <c r="BG18" i="12"/>
  <c r="BG17" i="12"/>
  <c r="BG16" i="12"/>
  <c r="BG15" i="12"/>
  <c r="BG14" i="12"/>
  <c r="BG13" i="12"/>
  <c r="BG12" i="12"/>
  <c r="BG11" i="12"/>
  <c r="BG10" i="12"/>
  <c r="BG9" i="12"/>
  <c r="BG8" i="12"/>
  <c r="BG7" i="12"/>
  <c r="BG6" i="12"/>
  <c r="BG5" i="12"/>
  <c r="C35" i="12" l="1"/>
  <c r="U7" i="12"/>
  <c r="T7" i="12"/>
  <c r="T6" i="12"/>
  <c r="R8" i="12"/>
  <c r="W6" i="12"/>
  <c r="T8" i="12"/>
  <c r="T9" i="12"/>
  <c r="W9" i="12"/>
  <c r="W7" i="12"/>
  <c r="V5" i="12"/>
  <c r="S9" i="12"/>
  <c r="V9" i="12"/>
  <c r="V7" i="12"/>
  <c r="T5" i="12"/>
  <c r="X6" i="12" s="1"/>
  <c r="R7" i="12"/>
  <c r="V6" i="12"/>
  <c r="U6" i="12"/>
  <c r="W5" i="12"/>
  <c r="U5" i="12"/>
  <c r="Y6" i="12" s="1"/>
  <c r="R9" i="12"/>
  <c r="U8" i="12"/>
  <c r="V8" i="12"/>
  <c r="S8" i="12"/>
  <c r="W8" i="12"/>
  <c r="R5" i="12"/>
  <c r="Z5" i="12" s="1"/>
  <c r="S7" i="12"/>
  <c r="S6" i="12"/>
  <c r="S5" i="12"/>
  <c r="AA5" i="12" s="1"/>
  <c r="R6" i="12"/>
  <c r="Q21" i="12"/>
  <c r="Q20" i="12" s="1"/>
  <c r="Q19" i="12" s="1"/>
  <c r="Q18" i="12" s="1"/>
  <c r="Q17" i="12" s="1"/>
  <c r="Q16" i="12" s="1"/>
  <c r="Q15" i="12" s="1"/>
  <c r="Q14" i="12" s="1"/>
  <c r="Q13" i="12" s="1"/>
  <c r="Q12" i="12" s="1"/>
  <c r="Q11" i="12" s="1"/>
  <c r="Q10" i="12" s="1"/>
  <c r="Q9" i="12" s="1"/>
  <c r="Q8" i="12" s="1"/>
  <c r="Q7" i="12" s="1"/>
  <c r="Q6" i="12" s="1"/>
  <c r="Q5" i="12" s="1"/>
  <c r="AE29" i="12" s="1"/>
  <c r="AG5" i="12"/>
  <c r="U30" i="12" s="1"/>
  <c r="AK5" i="12"/>
  <c r="AL5" i="12" s="1"/>
  <c r="AF5" i="12"/>
  <c r="T30" i="12" s="1"/>
  <c r="AK6" i="12"/>
  <c r="AL6" i="12" s="1"/>
  <c r="AK8" i="12"/>
  <c r="AL8" i="12" s="1"/>
  <c r="AK7" i="12"/>
  <c r="AL7" i="12" s="1"/>
  <c r="U9" i="12" l="1"/>
  <c r="AN5" i="12"/>
  <c r="AN8" i="12"/>
  <c r="AM5" i="12"/>
  <c r="AW5" i="12" s="1"/>
  <c r="AN6" i="12"/>
  <c r="Y7" i="12"/>
  <c r="Y8" i="12" s="1"/>
  <c r="X7" i="12"/>
  <c r="X8" i="12" s="1"/>
  <c r="AA6" i="12"/>
  <c r="Z6" i="12"/>
  <c r="AM6" i="12"/>
  <c r="AW6" i="12" s="1"/>
  <c r="AM8" i="12"/>
  <c r="AW8" i="12" s="1"/>
  <c r="AK9" i="12"/>
  <c r="AL9" i="12" s="1"/>
  <c r="AN7" i="12"/>
  <c r="AM7" i="12"/>
  <c r="AW7" i="12" s="1"/>
  <c r="U10" i="12" l="1"/>
  <c r="S10" i="12"/>
  <c r="W10" i="12"/>
  <c r="V10" i="12"/>
  <c r="T10" i="12"/>
  <c r="R10" i="12"/>
  <c r="AA7" i="12"/>
  <c r="Z7" i="12"/>
  <c r="Z8" i="12"/>
  <c r="X9" i="12"/>
  <c r="Y9" i="12"/>
  <c r="AA9" i="12" s="1"/>
  <c r="AN9" i="12"/>
  <c r="AM9" i="12"/>
  <c r="AW9" i="12" s="1"/>
  <c r="AA8" i="12"/>
  <c r="AK10" i="12"/>
  <c r="AL10" i="12" s="1"/>
  <c r="W11" i="12" l="1"/>
  <c r="R11" i="12"/>
  <c r="U11" i="12"/>
  <c r="V11" i="12"/>
  <c r="S11" i="12"/>
  <c r="T11" i="12"/>
  <c r="AK11" i="12"/>
  <c r="AL11" i="12" s="1"/>
  <c r="AN10" i="12"/>
  <c r="AM10" i="12"/>
  <c r="AW10" i="12" s="1"/>
  <c r="Y10" i="12"/>
  <c r="AA10" i="12" s="1"/>
  <c r="Z9" i="12"/>
  <c r="X10" i="12"/>
  <c r="U12" i="12" l="1"/>
  <c r="R12" i="12"/>
  <c r="V12" i="12"/>
  <c r="S12" i="12"/>
  <c r="T12" i="12"/>
  <c r="W12" i="12"/>
  <c r="AM11" i="12"/>
  <c r="AW11" i="12" s="1"/>
  <c r="AN11" i="12"/>
  <c r="Y11" i="12"/>
  <c r="AK12" i="12"/>
  <c r="AL12" i="12" s="1"/>
  <c r="X11" i="12"/>
  <c r="Z10" i="12"/>
  <c r="V13" i="12" l="1"/>
  <c r="S13" i="12"/>
  <c r="W13" i="12"/>
  <c r="T13" i="12"/>
  <c r="R13" i="12"/>
  <c r="U13" i="12"/>
  <c r="X12" i="12"/>
  <c r="Z11" i="12"/>
  <c r="AK13" i="12"/>
  <c r="AL13" i="12" s="1"/>
  <c r="AM12" i="12"/>
  <c r="AW12" i="12" s="1"/>
  <c r="AN12" i="12"/>
  <c r="Y12" i="12"/>
  <c r="AA11" i="12"/>
  <c r="S14" i="12" l="1"/>
  <c r="R14" i="12"/>
  <c r="W14" i="12"/>
  <c r="T14" i="12"/>
  <c r="U14" i="12"/>
  <c r="V14" i="12"/>
  <c r="X13" i="12"/>
  <c r="Z12" i="12"/>
  <c r="Y13" i="12"/>
  <c r="AN13" i="12"/>
  <c r="AM13" i="12"/>
  <c r="AW13" i="12" s="1"/>
  <c r="AK14" i="12"/>
  <c r="AL14" i="12" s="1"/>
  <c r="AA12" i="12"/>
  <c r="W15" i="12" l="1"/>
  <c r="S15" i="12"/>
  <c r="V15" i="12"/>
  <c r="R15" i="12"/>
  <c r="U15" i="12"/>
  <c r="T15" i="12"/>
  <c r="AM14" i="12"/>
  <c r="AW14" i="12" s="1"/>
  <c r="AN14" i="12"/>
  <c r="Y14" i="12"/>
  <c r="AA14" i="12" s="1"/>
  <c r="X14" i="12"/>
  <c r="Z13" i="12"/>
  <c r="AA13" i="12"/>
  <c r="AK15" i="12"/>
  <c r="AL15" i="12" s="1"/>
  <c r="V16" i="12" l="1"/>
  <c r="W16" i="12"/>
  <c r="U16" i="12"/>
  <c r="S16" i="12"/>
  <c r="R16" i="12"/>
  <c r="T16" i="12"/>
  <c r="AM15" i="12"/>
  <c r="AW15" i="12" s="1"/>
  <c r="AN15" i="12"/>
  <c r="X15" i="12"/>
  <c r="Z14" i="12"/>
  <c r="AK16" i="12"/>
  <c r="AL16" i="12" s="1"/>
  <c r="Y15" i="12"/>
  <c r="AA15" i="12" s="1"/>
  <c r="S17" i="12" l="1"/>
  <c r="R17" i="12"/>
  <c r="V17" i="12"/>
  <c r="U17" i="12"/>
  <c r="W17" i="12"/>
  <c r="T17" i="12"/>
  <c r="Y16" i="12"/>
  <c r="AK17" i="12"/>
  <c r="AL17" i="12" s="1"/>
  <c r="AN16" i="12"/>
  <c r="AM16" i="12"/>
  <c r="AW16" i="12" s="1"/>
  <c r="X16" i="12"/>
  <c r="Z15" i="12"/>
  <c r="R18" i="12" l="1"/>
  <c r="T18" i="12"/>
  <c r="S18" i="12"/>
  <c r="V18" i="12"/>
  <c r="U18" i="12"/>
  <c r="W18" i="12"/>
  <c r="AK18" i="12"/>
  <c r="AL18" i="12" s="1"/>
  <c r="AN17" i="12"/>
  <c r="AM17" i="12"/>
  <c r="AW17" i="12" s="1"/>
  <c r="Y17" i="12"/>
  <c r="AA16" i="12"/>
  <c r="X17" i="12"/>
  <c r="Z16" i="12"/>
  <c r="R19" i="12" l="1"/>
  <c r="U19" i="12"/>
  <c r="V19" i="12"/>
  <c r="S19" i="12"/>
  <c r="W19" i="12"/>
  <c r="T19" i="12"/>
  <c r="Z17" i="12"/>
  <c r="X18" i="12"/>
  <c r="Y18" i="12"/>
  <c r="AA18" i="12" s="1"/>
  <c r="AA17" i="12"/>
  <c r="AN18" i="12"/>
  <c r="AM18" i="12"/>
  <c r="AW18" i="12" s="1"/>
  <c r="AK19" i="12"/>
  <c r="AL19" i="12" s="1"/>
  <c r="T20" i="12" l="1"/>
  <c r="R20" i="12"/>
  <c r="U20" i="12"/>
  <c r="S20" i="12"/>
  <c r="W20" i="12"/>
  <c r="V20" i="12"/>
  <c r="AK20" i="12"/>
  <c r="AL20" i="12" s="1"/>
  <c r="Y19" i="12"/>
  <c r="X19" i="12"/>
  <c r="Z18" i="12"/>
  <c r="AN19" i="12"/>
  <c r="AM19" i="12"/>
  <c r="AW19" i="12" s="1"/>
  <c r="W21" i="12" l="1"/>
  <c r="V21" i="12"/>
  <c r="U21" i="12"/>
  <c r="S21" i="12"/>
  <c r="R21" i="12"/>
  <c r="T21" i="12"/>
  <c r="Z19" i="12"/>
  <c r="X20" i="12"/>
  <c r="Y20" i="12"/>
  <c r="AN20" i="12"/>
  <c r="AM20" i="12"/>
  <c r="AW20" i="12" s="1"/>
  <c r="AK21" i="12"/>
  <c r="AL21" i="12" s="1"/>
  <c r="AA19" i="12"/>
  <c r="V22" i="12" l="1"/>
  <c r="R22" i="12"/>
  <c r="W22" i="12"/>
  <c r="T22" i="12"/>
  <c r="U22" i="12"/>
  <c r="S22" i="12"/>
  <c r="AN21" i="12"/>
  <c r="AM21" i="12"/>
  <c r="AW21" i="12" s="1"/>
  <c r="AK22" i="12"/>
  <c r="AL22" i="12" s="1"/>
  <c r="Y21" i="12"/>
  <c r="Z20" i="12"/>
  <c r="X21" i="12"/>
  <c r="AA20" i="12"/>
  <c r="Y22" i="12" l="1"/>
  <c r="AA21" i="12"/>
  <c r="AN22" i="12"/>
  <c r="AM22" i="12"/>
  <c r="AW22" i="12" s="1"/>
  <c r="Z21" i="12"/>
  <c r="X22" i="12"/>
  <c r="AA22" i="12" l="1"/>
  <c r="AC22" i="12" s="1"/>
  <c r="AE5" i="12"/>
  <c r="U31" i="12" s="1"/>
  <c r="Z22" i="12"/>
  <c r="AD5" i="12"/>
  <c r="T31" i="12" s="1"/>
  <c r="AC21" i="12" l="1"/>
  <c r="AC8" i="12"/>
  <c r="AC6" i="12"/>
  <c r="AC11" i="12"/>
  <c r="AC13" i="12"/>
  <c r="AC15" i="12"/>
  <c r="AC16" i="12"/>
  <c r="AC7" i="12"/>
  <c r="AC5" i="12"/>
  <c r="AC18" i="12"/>
  <c r="AC10" i="12"/>
  <c r="AC9" i="12"/>
  <c r="AC12" i="12"/>
  <c r="AC14" i="12"/>
  <c r="AC17" i="12"/>
  <c r="AC19" i="12"/>
  <c r="AC20" i="12"/>
  <c r="AB19" i="12"/>
  <c r="AB22" i="12"/>
  <c r="AJ22" i="12" s="1"/>
  <c r="AB21" i="12"/>
  <c r="AB20" i="12"/>
  <c r="AB17" i="12"/>
  <c r="AB18" i="12"/>
  <c r="AB15" i="12"/>
  <c r="AB16" i="12"/>
  <c r="AB13" i="12"/>
  <c r="AB14" i="12"/>
  <c r="AB11" i="12"/>
  <c r="AB12" i="12"/>
  <c r="AB6" i="12"/>
  <c r="AB5" i="12"/>
  <c r="AE27" i="12" s="1"/>
  <c r="AE35" i="12" s="1"/>
  <c r="AB9" i="12"/>
  <c r="AB8" i="12"/>
  <c r="AB7" i="12"/>
  <c r="AB10" i="12"/>
  <c r="AP20" i="12"/>
  <c r="AP21" i="12"/>
  <c r="AP22" i="12"/>
  <c r="AP18" i="12"/>
  <c r="AP6" i="12"/>
  <c r="AH5" i="12"/>
  <c r="AP10" i="12"/>
  <c r="AP8" i="12"/>
  <c r="AP15" i="12"/>
  <c r="AP19" i="12"/>
  <c r="AP7" i="12"/>
  <c r="AP12" i="12"/>
  <c r="AP11" i="12"/>
  <c r="AP9" i="12"/>
  <c r="AP17" i="12"/>
  <c r="AP13" i="12"/>
  <c r="AP5" i="12"/>
  <c r="AP16" i="12"/>
  <c r="AP14" i="12"/>
  <c r="AO19" i="12"/>
  <c r="AO14" i="12"/>
  <c r="AO9" i="12"/>
  <c r="AO20" i="12"/>
  <c r="AO15" i="12"/>
  <c r="AO5" i="12"/>
  <c r="AO18" i="12"/>
  <c r="AO21" i="12"/>
  <c r="AO6" i="12"/>
  <c r="AO10" i="12"/>
  <c r="AO8" i="12"/>
  <c r="AO22" i="12"/>
  <c r="AO7" i="12"/>
  <c r="AO12" i="12"/>
  <c r="AO11" i="12"/>
  <c r="AO17" i="12"/>
  <c r="AO13" i="12"/>
  <c r="AO16" i="12"/>
  <c r="AE42" i="12" l="1"/>
  <c r="AE37" i="12"/>
  <c r="AE41" i="12" s="1"/>
  <c r="AI20" i="12"/>
  <c r="AJ20" i="12"/>
  <c r="AI22" i="12"/>
  <c r="AV22" i="12" s="1"/>
  <c r="AJ16" i="12"/>
  <c r="AI16" i="12"/>
  <c r="AJ17" i="12"/>
  <c r="AI17" i="12"/>
  <c r="AJ10" i="12"/>
  <c r="AI10" i="12"/>
  <c r="AJ11" i="12"/>
  <c r="AI11" i="12"/>
  <c r="AJ18" i="12"/>
  <c r="AI18" i="12"/>
  <c r="AJ6" i="12"/>
  <c r="AI6" i="12"/>
  <c r="AQ21" i="12"/>
  <c r="AR21" i="12" s="1"/>
  <c r="AQ20" i="12"/>
  <c r="AR20" i="12" s="1"/>
  <c r="AQ18" i="12"/>
  <c r="AR18" i="12" s="1"/>
  <c r="AQ6" i="12"/>
  <c r="AR6" i="12" s="1"/>
  <c r="AQ13" i="12"/>
  <c r="AR13" i="12" s="1"/>
  <c r="AQ10" i="12"/>
  <c r="AR10" i="12" s="1"/>
  <c r="AQ8" i="12"/>
  <c r="AR8" i="12" s="1"/>
  <c r="AQ15" i="12"/>
  <c r="AR15" i="12" s="1"/>
  <c r="AQ19" i="12"/>
  <c r="AR19" i="12" s="1"/>
  <c r="AQ7" i="12"/>
  <c r="AR7" i="12" s="1"/>
  <c r="AQ22" i="12"/>
  <c r="AR22" i="12" s="1"/>
  <c r="AQ12" i="12"/>
  <c r="AR12" i="12" s="1"/>
  <c r="AQ11" i="12"/>
  <c r="AR11" i="12" s="1"/>
  <c r="AQ9" i="12"/>
  <c r="AR9" i="12" s="1"/>
  <c r="AQ17" i="12"/>
  <c r="AR17" i="12" s="1"/>
  <c r="AQ5" i="12"/>
  <c r="AR5" i="12" s="1"/>
  <c r="AQ16" i="12"/>
  <c r="AR16" i="12" s="1"/>
  <c r="AQ14" i="12"/>
  <c r="AR14" i="12" s="1"/>
  <c r="AJ9" i="12"/>
  <c r="AI9" i="12"/>
  <c r="AJ7" i="12"/>
  <c r="AI7" i="12"/>
  <c r="AJ5" i="12"/>
  <c r="AI5" i="12"/>
  <c r="AJ19" i="12"/>
  <c r="AI19" i="12"/>
  <c r="AJ21" i="12"/>
  <c r="AI21" i="12"/>
  <c r="AJ15" i="12"/>
  <c r="AI15" i="12"/>
  <c r="AJ14" i="12"/>
  <c r="AI14" i="12"/>
  <c r="AJ12" i="12"/>
  <c r="AI12" i="12"/>
  <c r="AJ13" i="12"/>
  <c r="AI13" i="12"/>
  <c r="AJ8" i="12"/>
  <c r="AI8" i="12"/>
  <c r="AE45" i="12" l="1"/>
  <c r="AE46" i="12" s="1"/>
  <c r="AT22" i="12"/>
  <c r="AS22" i="12"/>
  <c r="BA22" i="12" s="1"/>
  <c r="AS21" i="12"/>
  <c r="BA21" i="12" s="1"/>
  <c r="AT21" i="12"/>
  <c r="AT20" i="12"/>
  <c r="AS20" i="12"/>
  <c r="BA20" i="12" s="1"/>
  <c r="AT19" i="12"/>
  <c r="AS19" i="12"/>
  <c r="BA19" i="12" s="1"/>
  <c r="AV14" i="12"/>
  <c r="AX14" i="12" s="1"/>
  <c r="AT18" i="12"/>
  <c r="AS18" i="12"/>
  <c r="BA18" i="12" s="1"/>
  <c r="AT6" i="12"/>
  <c r="AS6" i="12"/>
  <c r="BA6" i="12" s="1"/>
  <c r="AT9" i="12"/>
  <c r="AS9" i="12"/>
  <c r="BA9" i="12" s="1"/>
  <c r="AS11" i="12"/>
  <c r="BA11" i="12" s="1"/>
  <c r="AT11" i="12"/>
  <c r="AS12" i="12"/>
  <c r="BA12" i="12" s="1"/>
  <c r="AT12" i="12"/>
  <c r="AS10" i="12"/>
  <c r="BA10" i="12" s="1"/>
  <c r="AT10" i="12"/>
  <c r="AT5" i="12"/>
  <c r="AS5" i="12"/>
  <c r="BA5" i="12" s="1"/>
  <c r="AT17" i="12"/>
  <c r="AS17" i="12"/>
  <c r="BA17" i="12" s="1"/>
  <c r="AT7" i="12"/>
  <c r="AS7" i="12"/>
  <c r="BA7" i="12" s="1"/>
  <c r="AS13" i="12"/>
  <c r="BA13" i="12" s="1"/>
  <c r="AT13" i="12"/>
  <c r="AT14" i="12"/>
  <c r="AS14" i="12"/>
  <c r="BA14" i="12" s="1"/>
  <c r="AT16" i="12"/>
  <c r="AS16" i="12"/>
  <c r="BA16" i="12" s="1"/>
  <c r="AS15" i="12"/>
  <c r="BA15" i="12" s="1"/>
  <c r="AT15" i="12"/>
  <c r="AS8" i="12"/>
  <c r="BA8" i="12" s="1"/>
  <c r="AT8" i="12"/>
  <c r="AV17" i="12"/>
  <c r="AX17" i="12" s="1"/>
  <c r="AV7" i="12"/>
  <c r="AX7" i="12" s="1"/>
  <c r="AV21" i="12"/>
  <c r="AX21" i="12" s="1"/>
  <c r="AV8" i="12"/>
  <c r="AX8" i="12" s="1"/>
  <c r="AV10" i="12"/>
  <c r="AX10" i="12" s="1"/>
  <c r="AV18" i="12"/>
  <c r="AX18" i="12" s="1"/>
  <c r="AV6" i="12"/>
  <c r="AX6" i="12" s="1"/>
  <c r="AV15" i="12"/>
  <c r="AX15" i="12" s="1"/>
  <c r="AV16" i="12"/>
  <c r="AX16" i="12" s="1"/>
  <c r="AV11" i="12"/>
  <c r="AX11" i="12" s="1"/>
  <c r="AV12" i="12"/>
  <c r="AX12" i="12" s="1"/>
  <c r="AV9" i="12"/>
  <c r="AX9" i="12" s="1"/>
  <c r="AV13" i="12"/>
  <c r="AX13" i="12" s="1"/>
  <c r="AV5" i="12"/>
  <c r="AX5" i="12" s="1"/>
  <c r="AV19" i="12"/>
  <c r="AX19" i="12" s="1"/>
  <c r="AV20" i="12"/>
  <c r="AX20" i="12" s="1"/>
  <c r="AX22" i="12"/>
  <c r="AZ18" i="12" l="1"/>
  <c r="BH18" i="12" s="1"/>
  <c r="BJ18" i="12" s="1"/>
  <c r="BL18" i="12" s="1"/>
  <c r="BN18" i="12" s="1"/>
  <c r="AZ21" i="12"/>
  <c r="BH21" i="12" s="1"/>
  <c r="BJ21" i="12" s="1"/>
  <c r="BL21" i="12" s="1"/>
  <c r="BN21" i="12" s="1"/>
  <c r="AZ8" i="12"/>
  <c r="BH8" i="12" s="1"/>
  <c r="BJ8" i="12" s="1"/>
  <c r="BL8" i="12" s="1"/>
  <c r="BN8" i="12" s="1"/>
  <c r="AZ6" i="12"/>
  <c r="AZ9" i="12"/>
  <c r="AZ13" i="12"/>
  <c r="BH13" i="12" s="1"/>
  <c r="BJ13" i="12" s="1"/>
  <c r="BL13" i="12" s="1"/>
  <c r="BN13" i="12" s="1"/>
  <c r="AZ5" i="12"/>
  <c r="AZ10" i="12"/>
  <c r="AZ12" i="12"/>
  <c r="AZ16" i="12"/>
  <c r="AZ20" i="12"/>
  <c r="AZ15" i="12"/>
  <c r="BH15" i="12" s="1"/>
  <c r="BJ15" i="12" s="1"/>
  <c r="BL15" i="12" s="1"/>
  <c r="BN15" i="12" s="1"/>
  <c r="AZ19" i="12"/>
  <c r="AZ22" i="12"/>
  <c r="BH22" i="12" s="1"/>
  <c r="BJ22" i="12" s="1"/>
  <c r="BL22" i="12" s="1"/>
  <c r="BN22" i="12" s="1"/>
  <c r="AZ7" i="12"/>
  <c r="AZ17" i="12"/>
  <c r="AZ11" i="12"/>
  <c r="AZ14" i="12"/>
  <c r="BC11" i="12"/>
  <c r="BE11" i="12"/>
  <c r="BC17" i="12"/>
  <c r="BE17" i="12"/>
  <c r="BE14" i="12"/>
  <c r="BC14" i="12"/>
  <c r="BE9" i="12"/>
  <c r="BC9" i="12"/>
  <c r="BE5" i="12"/>
  <c r="BC5" i="12"/>
  <c r="BE13" i="12"/>
  <c r="BC13" i="12"/>
  <c r="BE20" i="12"/>
  <c r="BC20" i="12"/>
  <c r="BE7" i="12"/>
  <c r="BC7" i="12"/>
  <c r="BE10" i="12"/>
  <c r="BC10" i="12"/>
  <c r="BE21" i="12"/>
  <c r="BC21" i="12"/>
  <c r="BC16" i="12"/>
  <c r="BE16" i="12"/>
  <c r="BE19" i="12"/>
  <c r="BC19" i="12"/>
  <c r="BE12" i="12"/>
  <c r="BC12" i="12"/>
  <c r="BE18" i="12"/>
  <c r="BC18" i="12"/>
  <c r="BE8" i="12"/>
  <c r="BC8" i="12"/>
  <c r="BE15" i="12"/>
  <c r="BC15" i="12"/>
  <c r="BC6" i="12"/>
  <c r="BE6" i="12"/>
  <c r="BE22" i="12"/>
  <c r="BC22" i="12"/>
  <c r="BB8" i="12" l="1"/>
  <c r="BD8" i="12" s="1"/>
  <c r="BB18" i="12"/>
  <c r="BF18" i="12" s="1"/>
  <c r="BI18" i="12" s="1"/>
  <c r="BB13" i="12"/>
  <c r="BD13" i="12" s="1"/>
  <c r="BB21" i="12"/>
  <c r="BF21" i="12" s="1"/>
  <c r="BI21" i="12" s="1"/>
  <c r="BB15" i="12"/>
  <c r="BF15" i="12" s="1"/>
  <c r="BI15" i="12" s="1"/>
  <c r="BB22" i="12"/>
  <c r="BF22" i="12" s="1"/>
  <c r="BI22" i="12" s="1"/>
  <c r="BH7" i="12"/>
  <c r="BJ7" i="12" s="1"/>
  <c r="BL7" i="12" s="1"/>
  <c r="BN7" i="12" s="1"/>
  <c r="BB7" i="12"/>
  <c r="BB11" i="12"/>
  <c r="BH11" i="12"/>
  <c r="BJ11" i="12" s="1"/>
  <c r="BL11" i="12" s="1"/>
  <c r="BN11" i="12" s="1"/>
  <c r="BH19" i="12"/>
  <c r="BJ19" i="12" s="1"/>
  <c r="BL19" i="12" s="1"/>
  <c r="BN19" i="12" s="1"/>
  <c r="BB19" i="12"/>
  <c r="BB16" i="12"/>
  <c r="BH16" i="12"/>
  <c r="BD30" i="12" s="1"/>
  <c r="BB6" i="12"/>
  <c r="BH6" i="12"/>
  <c r="BJ6" i="12" s="1"/>
  <c r="BL6" i="12" s="1"/>
  <c r="BN6" i="12" s="1"/>
  <c r="BH14" i="12"/>
  <c r="BJ14" i="12" s="1"/>
  <c r="BL14" i="12" s="1"/>
  <c r="BN14" i="12" s="1"/>
  <c r="BB14" i="12"/>
  <c r="BH17" i="12"/>
  <c r="BJ17" i="12" s="1"/>
  <c r="BL17" i="12" s="1"/>
  <c r="BN17" i="12" s="1"/>
  <c r="BB17" i="12"/>
  <c r="BH12" i="12"/>
  <c r="BJ12" i="12" s="1"/>
  <c r="BL12" i="12" s="1"/>
  <c r="BN12" i="12" s="1"/>
  <c r="BB12" i="12"/>
  <c r="BB20" i="12"/>
  <c r="BH20" i="12"/>
  <c r="BJ20" i="12" s="1"/>
  <c r="BL20" i="12" s="1"/>
  <c r="BN20" i="12" s="1"/>
  <c r="BH10" i="12"/>
  <c r="BJ10" i="12" s="1"/>
  <c r="BL10" i="12" s="1"/>
  <c r="BN10" i="12" s="1"/>
  <c r="BB10" i="12"/>
  <c r="BH5" i="12"/>
  <c r="AB30" i="12" s="1"/>
  <c r="BB5" i="12"/>
  <c r="BH9" i="12"/>
  <c r="BJ9" i="12" s="1"/>
  <c r="BL9" i="12" s="1"/>
  <c r="BN9" i="12" s="1"/>
  <c r="BB9" i="12"/>
  <c r="C27" i="12" l="1"/>
  <c r="BJ16" i="12"/>
  <c r="BL16" i="12" s="1"/>
  <c r="BN16" i="12" s="1"/>
  <c r="BK15" i="12"/>
  <c r="BM15" i="12" s="1"/>
  <c r="BK22" i="12"/>
  <c r="BM22" i="12" s="1"/>
  <c r="BK18" i="12"/>
  <c r="BM18" i="12" s="1"/>
  <c r="BK21" i="12"/>
  <c r="BM21" i="12" s="1"/>
  <c r="BD22" i="12"/>
  <c r="BD18" i="12"/>
  <c r="BF8" i="12"/>
  <c r="BI8" i="12" s="1"/>
  <c r="BF13" i="12"/>
  <c r="BI13" i="12" s="1"/>
  <c r="BD21" i="12"/>
  <c r="BD15" i="12"/>
  <c r="BF17" i="12"/>
  <c r="BI17" i="12" s="1"/>
  <c r="BD17" i="12"/>
  <c r="BD6" i="12"/>
  <c r="BF6" i="12"/>
  <c r="BI6" i="12" s="1"/>
  <c r="BJ5" i="12"/>
  <c r="BL5" i="12" s="1"/>
  <c r="BN5" i="12" s="1"/>
  <c r="BF11" i="12"/>
  <c r="BI11" i="12" s="1"/>
  <c r="BD11" i="12"/>
  <c r="BF12" i="12"/>
  <c r="BI12" i="12" s="1"/>
  <c r="BD12" i="12"/>
  <c r="BD9" i="12"/>
  <c r="BF9" i="12"/>
  <c r="BI9" i="12" s="1"/>
  <c r="BD14" i="12"/>
  <c r="BF14" i="12"/>
  <c r="BI14" i="12" s="1"/>
  <c r="BF5" i="12"/>
  <c r="AB32" i="12" s="1"/>
  <c r="BD5" i="12"/>
  <c r="BD19" i="12"/>
  <c r="BF19" i="12"/>
  <c r="BI19" i="12" s="1"/>
  <c r="BF20" i="12"/>
  <c r="BI20" i="12" s="1"/>
  <c r="BD20" i="12"/>
  <c r="BD7" i="12"/>
  <c r="BF7" i="12"/>
  <c r="BI7" i="12" s="1"/>
  <c r="BF16" i="12"/>
  <c r="BI16" i="12" s="1"/>
  <c r="BD16" i="12"/>
  <c r="BF10" i="12"/>
  <c r="BI10" i="12" s="1"/>
  <c r="BD10" i="12"/>
  <c r="AB35" i="12" l="1"/>
  <c r="BI5" i="12"/>
  <c r="BK5" i="12" s="1"/>
  <c r="BM5" i="12" s="1"/>
  <c r="BK6" i="12"/>
  <c r="BM6" i="12" s="1"/>
  <c r="BK17" i="12"/>
  <c r="BM17" i="12" s="1"/>
  <c r="BK8" i="12"/>
  <c r="BM8" i="12" s="1"/>
  <c r="BK7" i="12"/>
  <c r="BM7" i="12" s="1"/>
  <c r="BK19" i="12"/>
  <c r="BM19" i="12" s="1"/>
  <c r="BK10" i="12"/>
  <c r="BM10" i="12" s="1"/>
  <c r="BK16" i="12"/>
  <c r="BM16" i="12" s="1"/>
  <c r="BK20" i="12"/>
  <c r="BM20" i="12" s="1"/>
  <c r="BK13" i="12"/>
  <c r="BM13" i="12" s="1"/>
  <c r="BK9" i="12"/>
  <c r="BM9" i="12" s="1"/>
  <c r="BK14" i="12"/>
  <c r="BM14" i="12" s="1"/>
  <c r="BK12" i="12"/>
  <c r="BM12" i="12" s="1"/>
  <c r="BK11" i="12"/>
  <c r="BM11" i="12" s="1"/>
  <c r="AC29" i="12" l="1"/>
  <c r="AC41" i="12" s="1"/>
  <c r="AC45" i="12" s="1"/>
  <c r="AC46" i="12" s="1"/>
  <c r="AB37" i="12"/>
  <c r="AD29" i="12" s="1"/>
  <c r="AD41" i="12" s="1"/>
  <c r="AD45" i="12" l="1"/>
  <c r="AD46" i="12" s="1"/>
  <c r="AB38" i="12"/>
  <c r="AB41" i="12" l="1"/>
  <c r="AB39" i="12"/>
  <c r="AB40" i="12" s="1"/>
  <c r="AB42" i="12" l="1"/>
  <c r="AB45" i="12" s="1"/>
  <c r="AB46" i="12" s="1"/>
  <c r="AA47" i="12" s="1"/>
  <c r="C29" i="12" s="1"/>
  <c r="C32" i="12" s="1"/>
</calcChain>
</file>

<file path=xl/sharedStrings.xml><?xml version="1.0" encoding="utf-8"?>
<sst xmlns="http://schemas.openxmlformats.org/spreadsheetml/2006/main" count="93" uniqueCount="65">
  <si>
    <t>UMTRUSS</t>
  </si>
  <si>
    <t>UMRAIL</t>
  </si>
  <si>
    <t>UM210</t>
  </si>
  <si>
    <t>UM121</t>
  </si>
  <si>
    <t>-</t>
  </si>
  <si>
    <t>Angle</t>
  </si>
  <si>
    <t>MODE</t>
  </si>
  <si>
    <t>TENSION</t>
  </si>
  <si>
    <t>COMPRESSION</t>
  </si>
  <si>
    <t>COMPRESSION CHECK</t>
  </si>
  <si>
    <t>GLOBAL SAFETY FACTOR</t>
  </si>
  <si>
    <t>CONFIGURATION CHECK</t>
  </si>
  <si>
    <t>CABLES WEIGHT [kg]</t>
  </si>
  <si>
    <t>CLUSTER WEIGHT [kg]</t>
  </si>
  <si>
    <t>Cluster name:</t>
  </si>
  <si>
    <t>UM210 #1 STAGE LEFT</t>
  </si>
  <si>
    <t>Cable length [m]</t>
  </si>
  <si>
    <t>Number of cables in the cluster</t>
  </si>
  <si>
    <t>Unit weight [kg]</t>
  </si>
  <si>
    <t>Datas</t>
  </si>
  <si>
    <t>SPK4 - 4x 2,5mm2</t>
  </si>
  <si>
    <t>SPK4 - 4x 4mm2</t>
  </si>
  <si>
    <t>Cables references:</t>
  </si>
  <si>
    <t>Unit. Cable Weight [kg]</t>
  </si>
  <si>
    <t>4x 2,5mm2</t>
  </si>
  <si>
    <t>4x 4mm2</t>
  </si>
  <si>
    <t>Weight [kg]</t>
  </si>
  <si>
    <t>SPK8 / SPK4 Box</t>
  </si>
  <si>
    <t>Rigport Speakport8</t>
  </si>
  <si>
    <t>KLOTZ LSC825YS</t>
  </si>
  <si>
    <t>KLOTZ LSC840PS</t>
  </si>
  <si>
    <t>8x 2,5mm2</t>
  </si>
  <si>
    <t>8x 4mm2</t>
  </si>
  <si>
    <t>Linear Weight [kg/m]</t>
  </si>
  <si>
    <t>KLOTZ LSC425YS</t>
  </si>
  <si>
    <t>KLOTZ LSC440YS</t>
  </si>
  <si>
    <t>Total Cluster Cables Weight [kg]</t>
  </si>
  <si>
    <t>NL8 / NL4 Speakon Split Box</t>
  </si>
  <si>
    <t>Accessories</t>
  </si>
  <si>
    <t>Number of items in the cluster</t>
  </si>
  <si>
    <t>SPK8 - 8x 2,5mm2</t>
  </si>
  <si>
    <t>SPK8 - 8x 4mm2</t>
  </si>
  <si>
    <t>SPK4 - 4x 2,5mm2 - 5m</t>
  </si>
  <si>
    <t>Cable type</t>
  </si>
  <si>
    <t>SPK4 - 4x 2,5mm2 - 0,5m (link)</t>
  </si>
  <si>
    <t>SPK4 - 4x 2,5mm2 - 1m (link)</t>
  </si>
  <si>
    <t>SPK4 - 4x 2,5mm2 - 10m</t>
  </si>
  <si>
    <t>SPK4 - 4x 2,5mm2 - 20m</t>
  </si>
  <si>
    <t>SPK4 - 4x 4mm2 - 5m</t>
  </si>
  <si>
    <t>SPK4 - 4x 4mm2 - 10m</t>
  </si>
  <si>
    <t>SPK4 - 4x 4mm2 - 20m</t>
  </si>
  <si>
    <t>SPK4 - 8x 2,5mm2 - 5m</t>
  </si>
  <si>
    <t>SPK4 - 8x 2,5mm2 - 10m</t>
  </si>
  <si>
    <t>SPK4 - 8x 2,5mm2 - 20m</t>
  </si>
  <si>
    <t>SPK4 - 8x 4mm2 - 5m</t>
  </si>
  <si>
    <t>SPK4 - 8x 4mm2 - 10m</t>
  </si>
  <si>
    <t>SPK4 - 8x 4mm2 - 20m</t>
  </si>
  <si>
    <t>Compression Lever Hoist Force (daN)</t>
  </si>
  <si>
    <t>BumperAngles</t>
  </si>
  <si>
    <t>Bumper Weight</t>
  </si>
  <si>
    <t>First Angle UM210</t>
  </si>
  <si>
    <t>COMPRESSION LEVER HOIST FORCE [daN]</t>
  </si>
  <si>
    <t>CABINET</t>
  </si>
  <si>
    <t>ANGLE [°]</t>
  </si>
  <si>
    <t>Make sure that your hoist(s) is(are) able to carry the total weight of the array multiplied by a safety factor of 2 minimum.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</si>
</sst>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ck">
        <color rgb="FF0070C0"/>
      </bottom>
      <diagonal/>
    </border>
    <border>
      <left style="thick">
        <color rgb="FF0070C0"/>
      </left>
      <right style="thick">
        <color rgb="FF0070C0"/>
      </right>
      <top style="thick">
        <color rgb="FF0070C0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medium">
        <color indexed="64"/>
      </bottom>
      <diagonal/>
    </border>
    <border>
      <left style="thick">
        <color rgb="FF0070C0"/>
      </left>
      <right style="thick">
        <color rgb="FF0070C0"/>
      </right>
      <top style="medium">
        <color indexed="64"/>
      </top>
      <bottom style="thin">
        <color indexed="64"/>
      </bottom>
      <diagonal/>
    </border>
    <border>
      <left style="thick">
        <color rgb="FF0070C0"/>
      </left>
      <right style="thick">
        <color rgb="FF0070C0"/>
      </right>
      <top style="thin">
        <color indexed="64"/>
      </top>
      <bottom style="thick">
        <color rgb="FF0070C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rgb="FF0070C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theme="1"/>
      </left>
      <right style="thick">
        <color theme="1"/>
      </right>
      <top style="thick">
        <color theme="1"/>
      </top>
      <bottom style="thick">
        <color theme="1"/>
      </bottom>
      <diagonal/>
    </border>
    <border>
      <left style="medium">
        <color theme="1"/>
      </left>
      <right/>
      <top/>
      <bottom/>
      <diagonal/>
    </border>
    <border>
      <left/>
      <right style="medium">
        <color theme="1"/>
      </right>
      <top/>
      <bottom/>
      <diagonal/>
    </border>
    <border>
      <left style="medium">
        <color theme="1"/>
      </left>
      <right/>
      <top/>
      <bottom style="medium">
        <color theme="1"/>
      </bottom>
      <diagonal/>
    </border>
    <border>
      <left/>
      <right style="medium">
        <color theme="1"/>
      </right>
      <top/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 style="medium">
        <color theme="1"/>
      </bottom>
      <diagonal/>
    </border>
    <border>
      <left/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/>
      <top style="medium">
        <color theme="1"/>
      </top>
      <bottom/>
      <diagonal/>
    </border>
    <border>
      <left/>
      <right style="medium">
        <color theme="1"/>
      </right>
      <top style="medium">
        <color theme="1"/>
      </top>
      <bottom/>
      <diagonal/>
    </border>
    <border>
      <left/>
      <right/>
      <top style="thick">
        <color rgb="FF0070C0"/>
      </top>
      <bottom style="thick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rgb="FF0070C0"/>
      </left>
      <right style="thin">
        <color theme="1"/>
      </right>
      <top style="thick">
        <color rgb="FF0070C0"/>
      </top>
      <bottom style="thin">
        <color theme="1"/>
      </bottom>
      <diagonal/>
    </border>
    <border>
      <left style="thin">
        <color theme="1"/>
      </left>
      <right style="thick">
        <color rgb="FF0070C0"/>
      </right>
      <top style="thick">
        <color rgb="FF0070C0"/>
      </top>
      <bottom style="thin">
        <color theme="1"/>
      </bottom>
      <diagonal/>
    </border>
    <border>
      <left style="thick">
        <color rgb="FF0070C0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ck">
        <color rgb="FF0070C0"/>
      </right>
      <top style="thin">
        <color theme="1"/>
      </top>
      <bottom style="thin">
        <color theme="1"/>
      </bottom>
      <diagonal/>
    </border>
    <border>
      <left style="thick">
        <color rgb="FF0070C0"/>
      </left>
      <right style="thin">
        <color theme="1"/>
      </right>
      <top style="thin">
        <color theme="1"/>
      </top>
      <bottom style="thick">
        <color rgb="FF0070C0"/>
      </bottom>
      <diagonal/>
    </border>
    <border>
      <left style="thin">
        <color theme="1"/>
      </left>
      <right style="thick">
        <color rgb="FF0070C0"/>
      </right>
      <top style="thin">
        <color theme="1"/>
      </top>
      <bottom style="thick">
        <color rgb="FF0070C0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0" fillId="2" borderId="0" xfId="0" applyFill="1"/>
    <xf numFmtId="0" fontId="2" fillId="2" borderId="0" xfId="0" applyFont="1" applyFill="1"/>
    <xf numFmtId="0" fontId="6" fillId="2" borderId="0" xfId="0" applyFont="1" applyFill="1" applyAlignment="1">
      <alignment horizontal="right"/>
    </xf>
    <xf numFmtId="0" fontId="6" fillId="2" borderId="0" xfId="0" applyFont="1" applyFill="1"/>
    <xf numFmtId="0" fontId="2" fillId="2" borderId="0" xfId="0" applyFont="1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 applyProtection="1">
      <protection hidden="1"/>
    </xf>
    <xf numFmtId="0" fontId="2" fillId="2" borderId="0" xfId="0" applyFont="1" applyFill="1" applyProtection="1">
      <protection hidden="1"/>
    </xf>
    <xf numFmtId="0" fontId="2" fillId="2" borderId="0" xfId="0" applyFont="1" applyFill="1" applyAlignment="1" applyProtection="1">
      <alignment horizontal="center"/>
      <protection hidden="1"/>
    </xf>
    <xf numFmtId="0" fontId="0" fillId="2" borderId="0" xfId="0" applyFill="1" applyAlignment="1" applyProtection="1">
      <alignment horizontal="center"/>
      <protection hidden="1"/>
    </xf>
    <xf numFmtId="164" fontId="2" fillId="2" borderId="0" xfId="0" applyNumberFormat="1" applyFont="1" applyFill="1" applyAlignment="1" applyProtection="1">
      <alignment horizontal="center"/>
      <protection hidden="1"/>
    </xf>
    <xf numFmtId="164" fontId="2" fillId="2" borderId="0" xfId="0" applyNumberFormat="1" applyFont="1" applyFill="1" applyProtection="1">
      <protection hidden="1"/>
    </xf>
    <xf numFmtId="2" fontId="2" fillId="2" borderId="0" xfId="0" applyNumberFormat="1" applyFont="1" applyFill="1" applyAlignment="1" applyProtection="1">
      <alignment horizontal="center"/>
      <protection hidden="1"/>
    </xf>
    <xf numFmtId="2" fontId="2" fillId="2" borderId="0" xfId="0" applyNumberFormat="1" applyFont="1" applyFill="1" applyAlignment="1" applyProtection="1">
      <alignment horizontal="center" vertical="center"/>
      <protection hidden="1"/>
    </xf>
    <xf numFmtId="1" fontId="2" fillId="2" borderId="0" xfId="0" applyNumberFormat="1" applyFont="1" applyFill="1" applyAlignment="1" applyProtection="1">
      <alignment horizontal="center"/>
      <protection hidden="1"/>
    </xf>
    <xf numFmtId="0" fontId="4" fillId="2" borderId="0" xfId="0" applyFont="1" applyFill="1" applyAlignment="1" applyProtection="1">
      <alignment horizontal="center"/>
      <protection hidden="1"/>
    </xf>
    <xf numFmtId="164" fontId="0" fillId="2" borderId="0" xfId="0" applyNumberFormat="1" applyFill="1" applyAlignment="1" applyProtection="1">
      <alignment horizontal="center"/>
      <protection hidden="1"/>
    </xf>
    <xf numFmtId="2" fontId="0" fillId="2" borderId="0" xfId="0" applyNumberFormat="1" applyFill="1" applyAlignment="1" applyProtection="1">
      <alignment horizontal="center"/>
      <protection hidden="1"/>
    </xf>
    <xf numFmtId="0" fontId="1" fillId="3" borderId="16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0" fillId="2" borderId="19" xfId="0" applyFill="1" applyBorder="1" applyAlignment="1">
      <alignment horizontal="center"/>
    </xf>
    <xf numFmtId="0" fontId="0" fillId="2" borderId="20" xfId="0" applyFill="1" applyBorder="1" applyAlignment="1">
      <alignment horizontal="center"/>
    </xf>
    <xf numFmtId="0" fontId="0" fillId="2" borderId="21" xfId="0" applyFill="1" applyBorder="1" applyAlignment="1">
      <alignment horizontal="center"/>
    </xf>
    <xf numFmtId="0" fontId="0" fillId="2" borderId="22" xfId="0" applyFill="1" applyBorder="1" applyAlignment="1">
      <alignment horizontal="center"/>
    </xf>
    <xf numFmtId="0" fontId="1" fillId="3" borderId="4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center"/>
    </xf>
    <xf numFmtId="0" fontId="1" fillId="3" borderId="5" xfId="0" applyFont="1" applyFill="1" applyBorder="1" applyAlignment="1">
      <alignment horizontal="left"/>
    </xf>
    <xf numFmtId="0" fontId="1" fillId="3" borderId="6" xfId="0" applyFont="1" applyFill="1" applyBorder="1" applyAlignment="1">
      <alignment horizontal="left"/>
    </xf>
    <xf numFmtId="0" fontId="1" fillId="3" borderId="7" xfId="0" applyFont="1" applyFill="1" applyBorder="1" applyAlignment="1">
      <alignment horizontal="left"/>
    </xf>
    <xf numFmtId="0" fontId="1" fillId="3" borderId="1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23" xfId="0" applyFont="1" applyFill="1" applyBorder="1" applyAlignment="1">
      <alignment horizontal="center"/>
    </xf>
    <xf numFmtId="0" fontId="1" fillId="2" borderId="17" xfId="0" applyFont="1" applyFill="1" applyBorder="1"/>
    <xf numFmtId="0" fontId="1" fillId="3" borderId="4" xfId="0" applyFont="1" applyFill="1" applyBorder="1"/>
    <xf numFmtId="0" fontId="0" fillId="3" borderId="8" xfId="0" applyFill="1" applyBorder="1" applyAlignment="1">
      <alignment horizontal="center"/>
    </xf>
    <xf numFmtId="0" fontId="0" fillId="3" borderId="9" xfId="0" applyFill="1" applyBorder="1" applyAlignment="1">
      <alignment horizontal="center"/>
    </xf>
    <xf numFmtId="0" fontId="0" fillId="3" borderId="10" xfId="0" applyFill="1" applyBorder="1" applyAlignment="1">
      <alignment horizontal="center"/>
    </xf>
    <xf numFmtId="0" fontId="0" fillId="3" borderId="11" xfId="0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1" fillId="4" borderId="26" xfId="0" applyFont="1" applyFill="1" applyBorder="1" applyAlignment="1">
      <alignment horizontal="center"/>
    </xf>
    <xf numFmtId="0" fontId="0" fillId="2" borderId="35" xfId="0" applyFill="1" applyBorder="1"/>
    <xf numFmtId="0" fontId="1" fillId="4" borderId="26" xfId="0" applyFont="1" applyFill="1" applyBorder="1"/>
    <xf numFmtId="0" fontId="1" fillId="2" borderId="16" xfId="0" applyFont="1" applyFill="1" applyBorder="1" applyAlignment="1">
      <alignment horizontal="center" vertical="center"/>
    </xf>
    <xf numFmtId="164" fontId="1" fillId="2" borderId="36" xfId="0" applyNumberFormat="1" applyFont="1" applyFill="1" applyBorder="1" applyAlignment="1" applyProtection="1">
      <alignment horizontal="center"/>
      <protection locked="0" hidden="1"/>
    </xf>
    <xf numFmtId="0" fontId="0" fillId="2" borderId="37" xfId="0" applyFill="1" applyBorder="1" applyAlignment="1" applyProtection="1">
      <alignment horizontal="center"/>
      <protection locked="0" hidden="1"/>
    </xf>
    <xf numFmtId="164" fontId="0" fillId="2" borderId="38" xfId="0" applyNumberFormat="1" applyFill="1" applyBorder="1" applyAlignment="1" applyProtection="1">
      <alignment horizontal="center"/>
      <protection locked="0" hidden="1"/>
    </xf>
    <xf numFmtId="0" fontId="0" fillId="2" borderId="39" xfId="0" applyFill="1" applyBorder="1" applyAlignment="1" applyProtection="1">
      <alignment horizontal="center"/>
      <protection locked="0" hidden="1"/>
    </xf>
    <xf numFmtId="164" fontId="0" fillId="2" borderId="40" xfId="0" applyNumberFormat="1" applyFill="1" applyBorder="1" applyAlignment="1" applyProtection="1">
      <alignment horizontal="center"/>
      <protection locked="0" hidden="1"/>
    </xf>
    <xf numFmtId="0" fontId="0" fillId="2" borderId="0" xfId="0" applyFill="1" applyAlignment="1" applyProtection="1">
      <alignment horizontal="center"/>
      <protection hidden="1"/>
    </xf>
    <xf numFmtId="0" fontId="5" fillId="3" borderId="14" xfId="0" applyFont="1" applyFill="1" applyBorder="1" applyAlignment="1">
      <alignment horizontal="center" wrapText="1"/>
    </xf>
    <xf numFmtId="0" fontId="5" fillId="3" borderId="0" xfId="0" applyFont="1" applyFill="1" applyAlignment="1">
      <alignment horizontal="center" wrapText="1"/>
    </xf>
    <xf numFmtId="0" fontId="5" fillId="3" borderId="15" xfId="0" applyFont="1" applyFill="1" applyBorder="1" applyAlignment="1">
      <alignment horizontal="center" wrapText="1"/>
    </xf>
    <xf numFmtId="0" fontId="5" fillId="3" borderId="12" xfId="0" applyFont="1" applyFill="1" applyBorder="1" applyAlignment="1">
      <alignment horizontal="center" wrapText="1"/>
    </xf>
    <xf numFmtId="0" fontId="5" fillId="3" borderId="13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2" borderId="39" xfId="0" applyFill="1" applyBorder="1" applyAlignment="1" applyProtection="1">
      <alignment horizontal="center" vertical="center"/>
      <protection locked="0" hidden="1"/>
    </xf>
    <xf numFmtId="0" fontId="0" fillId="2" borderId="40" xfId="0" applyFill="1" applyBorder="1" applyAlignment="1" applyProtection="1">
      <alignment horizontal="center" vertical="center"/>
      <protection locked="0" hidden="1"/>
    </xf>
    <xf numFmtId="0" fontId="0" fillId="2" borderId="41" xfId="0" applyFill="1" applyBorder="1" applyAlignment="1" applyProtection="1">
      <alignment horizontal="center" vertical="center"/>
      <protection locked="0" hidden="1"/>
    </xf>
    <xf numFmtId="0" fontId="0" fillId="2" borderId="42" xfId="0" applyFill="1" applyBorder="1" applyAlignment="1" applyProtection="1">
      <alignment horizontal="center" vertical="center"/>
      <protection locked="0" hidden="1"/>
    </xf>
    <xf numFmtId="2" fontId="0" fillId="2" borderId="27" xfId="0" applyNumberFormat="1" applyFill="1" applyBorder="1" applyAlignment="1" applyProtection="1">
      <alignment horizontal="center" vertical="center"/>
      <protection hidden="1"/>
    </xf>
    <xf numFmtId="2" fontId="0" fillId="2" borderId="28" xfId="0" applyNumberFormat="1" applyFill="1" applyBorder="1" applyAlignment="1" applyProtection="1">
      <alignment horizontal="center" vertical="center"/>
      <protection hidden="1"/>
    </xf>
    <xf numFmtId="2" fontId="0" fillId="2" borderId="29" xfId="0" applyNumberFormat="1" applyFill="1" applyBorder="1" applyAlignment="1" applyProtection="1">
      <alignment horizontal="center" vertical="center"/>
      <protection hidden="1"/>
    </xf>
    <xf numFmtId="2" fontId="0" fillId="2" borderId="30" xfId="0" applyNumberFormat="1" applyFill="1" applyBorder="1" applyAlignment="1" applyProtection="1">
      <alignment horizontal="center" vertical="center"/>
      <protection hidden="1"/>
    </xf>
    <xf numFmtId="0" fontId="1" fillId="3" borderId="24" xfId="0" applyFont="1" applyFill="1" applyBorder="1" applyAlignment="1">
      <alignment horizontal="center" vertical="center"/>
    </xf>
    <xf numFmtId="0" fontId="1" fillId="3" borderId="25" xfId="0" applyFont="1" applyFill="1" applyBorder="1" applyAlignment="1">
      <alignment horizontal="center" vertical="center"/>
    </xf>
    <xf numFmtId="164" fontId="1" fillId="2" borderId="33" xfId="0" applyNumberFormat="1" applyFont="1" applyFill="1" applyBorder="1" applyAlignment="1" applyProtection="1">
      <alignment horizontal="center" vertical="center"/>
      <protection hidden="1"/>
    </xf>
    <xf numFmtId="164" fontId="1" fillId="2" borderId="34" xfId="0" applyNumberFormat="1" applyFont="1" applyFill="1" applyBorder="1" applyAlignment="1" applyProtection="1">
      <alignment horizontal="center" vertical="center"/>
      <protection hidden="1"/>
    </xf>
    <xf numFmtId="164" fontId="1" fillId="2" borderId="27" xfId="0" applyNumberFormat="1" applyFont="1" applyFill="1" applyBorder="1" applyAlignment="1" applyProtection="1">
      <alignment horizontal="center" vertical="center"/>
      <protection hidden="1"/>
    </xf>
    <xf numFmtId="164" fontId="1" fillId="2" borderId="28" xfId="0" applyNumberFormat="1" applyFont="1" applyFill="1" applyBorder="1" applyAlignment="1" applyProtection="1">
      <alignment horizontal="center" vertical="center"/>
      <protection hidden="1"/>
    </xf>
    <xf numFmtId="164" fontId="1" fillId="2" borderId="29" xfId="0" applyNumberFormat="1" applyFont="1" applyFill="1" applyBorder="1" applyAlignment="1" applyProtection="1">
      <alignment horizontal="center" vertical="center"/>
      <protection hidden="1"/>
    </xf>
    <xf numFmtId="164" fontId="1" fillId="2" borderId="30" xfId="0" applyNumberFormat="1" applyFont="1" applyFill="1" applyBorder="1" applyAlignment="1" applyProtection="1">
      <alignment horizontal="center" vertical="center"/>
      <protection hidden="1"/>
    </xf>
    <xf numFmtId="1" fontId="1" fillId="3" borderId="29" xfId="0" applyNumberFormat="1" applyFont="1" applyFill="1" applyBorder="1" applyAlignment="1" applyProtection="1">
      <alignment horizontal="center" vertical="center"/>
      <protection hidden="1"/>
    </xf>
    <xf numFmtId="1" fontId="1" fillId="3" borderId="30" xfId="0" applyNumberFormat="1" applyFont="1" applyFill="1" applyBorder="1" applyAlignment="1" applyProtection="1">
      <alignment horizontal="center" vertical="center"/>
      <protection hidden="1"/>
    </xf>
    <xf numFmtId="2" fontId="1" fillId="2" borderId="33" xfId="0" applyNumberFormat="1" applyFont="1" applyFill="1" applyBorder="1" applyAlignment="1" applyProtection="1">
      <alignment horizontal="center" vertical="center"/>
      <protection hidden="1"/>
    </xf>
    <xf numFmtId="2" fontId="1" fillId="2" borderId="34" xfId="0" applyNumberFormat="1" applyFont="1" applyFill="1" applyBorder="1" applyAlignment="1" applyProtection="1">
      <alignment horizontal="center" vertical="center"/>
      <protection hidden="1"/>
    </xf>
    <xf numFmtId="2" fontId="1" fillId="2" borderId="29" xfId="0" applyNumberFormat="1" applyFont="1" applyFill="1" applyBorder="1" applyAlignment="1" applyProtection="1">
      <alignment horizontal="center" vertical="center"/>
      <protection hidden="1"/>
    </xf>
    <xf numFmtId="2" fontId="1" fillId="2" borderId="30" xfId="0" applyNumberFormat="1" applyFont="1" applyFill="1" applyBorder="1" applyAlignment="1" applyProtection="1">
      <alignment horizontal="center" vertical="center"/>
      <protection hidden="1"/>
    </xf>
    <xf numFmtId="1" fontId="0" fillId="3" borderId="31" xfId="0" applyNumberFormat="1" applyFill="1" applyBorder="1" applyAlignment="1" applyProtection="1">
      <alignment horizontal="center" vertical="center"/>
      <protection hidden="1"/>
    </xf>
    <xf numFmtId="1" fontId="0" fillId="3" borderId="32" xfId="0" applyNumberFormat="1" applyFill="1" applyBorder="1" applyAlignment="1" applyProtection="1">
      <alignment horizontal="center" vertical="center"/>
      <protection hidden="1"/>
    </xf>
  </cellXfs>
  <cellStyles count="1">
    <cellStyle name="Normal" xfId="0" builtinId="0"/>
  </cellStyles>
  <dxfs count="7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457198022393231E-2"/>
          <c:y val="5.3526011649283167E-2"/>
          <c:w val="0.91975574887041167"/>
          <c:h val="0.92214398305558809"/>
        </c:manualLayout>
      </c:layout>
      <c:scatterChart>
        <c:scatterStyle val="smoothMarker"/>
        <c:varyColors val="0"/>
        <c:ser>
          <c:idx val="0"/>
          <c:order val="1"/>
          <c:spPr>
            <a:ln w="63500" cap="rnd">
              <a:solidFill>
                <a:schemeClr val="accent1"/>
              </a:solidFill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UMCalc!$X$5:$X$22</c:f>
              <c:numCache>
                <c:formatCode>General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-4.9913882410630848</c:v>
                </c:pt>
                <c:pt idx="4">
                  <c:v>-19.959471726545022</c:v>
                </c:pt>
                <c:pt idx="5">
                  <c:v>-49.854612221093916</c:v>
                </c:pt>
                <c:pt idx="6">
                  <c:v>-104.42598489878573</c:v>
                </c:pt>
                <c:pt idx="7">
                  <c:v>-104.42598489878573</c:v>
                </c:pt>
                <c:pt idx="8">
                  <c:v>-104.42598489878573</c:v>
                </c:pt>
                <c:pt idx="9">
                  <c:v>-104.42598489878573</c:v>
                </c:pt>
                <c:pt idx="10">
                  <c:v>-104.42598489878573</c:v>
                </c:pt>
                <c:pt idx="11">
                  <c:v>-104.42598489878573</c:v>
                </c:pt>
                <c:pt idx="12">
                  <c:v>-104.42598489878573</c:v>
                </c:pt>
                <c:pt idx="13">
                  <c:v>-104.42598489878573</c:v>
                </c:pt>
                <c:pt idx="14">
                  <c:v>-104.42598489878573</c:v>
                </c:pt>
                <c:pt idx="15">
                  <c:v>-104.42598489878573</c:v>
                </c:pt>
                <c:pt idx="16">
                  <c:v>-104.42598489878573</c:v>
                </c:pt>
                <c:pt idx="17">
                  <c:v>-104.42598489878573</c:v>
                </c:pt>
              </c:numCache>
            </c:numRef>
          </c:xVal>
          <c:yVal>
            <c:numRef>
              <c:f>UMCalc!$Y$5:$Y$22</c:f>
              <c:numCache>
                <c:formatCode>General</c:formatCode>
                <c:ptCount val="18"/>
                <c:pt idx="0">
                  <c:v>0</c:v>
                </c:pt>
                <c:pt idx="1">
                  <c:v>-286</c:v>
                </c:pt>
                <c:pt idx="2">
                  <c:v>-572</c:v>
                </c:pt>
                <c:pt idx="3">
                  <c:v>-857.9564408147279</c:v>
                </c:pt>
                <c:pt idx="4">
                  <c:v>-1143.564487754536</c:v>
                </c:pt>
                <c:pt idx="5">
                  <c:v>-1427.9977498298622</c:v>
                </c:pt>
                <c:pt idx="6">
                  <c:v>-1708.7431242958942</c:v>
                </c:pt>
                <c:pt idx="7">
                  <c:v>-1708.7431242958942</c:v>
                </c:pt>
                <c:pt idx="8">
                  <c:v>-1708.7431242958942</c:v>
                </c:pt>
                <c:pt idx="9">
                  <c:v>-1708.7431242958942</c:v>
                </c:pt>
                <c:pt idx="10">
                  <c:v>-1708.7431242958942</c:v>
                </c:pt>
                <c:pt idx="11">
                  <c:v>-1708.7431242958942</c:v>
                </c:pt>
                <c:pt idx="12">
                  <c:v>-1708.7431242958942</c:v>
                </c:pt>
                <c:pt idx="13">
                  <c:v>-1708.7431242958942</c:v>
                </c:pt>
                <c:pt idx="14">
                  <c:v>-1708.7431242958942</c:v>
                </c:pt>
                <c:pt idx="15">
                  <c:v>-1708.7431242958942</c:v>
                </c:pt>
                <c:pt idx="16">
                  <c:v>-1708.7431242958942</c:v>
                </c:pt>
                <c:pt idx="17">
                  <c:v>-1708.7431242958942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1CEC-4F1E-B542-917F3C711AB6}"/>
            </c:ext>
          </c:extLst>
        </c:ser>
        <c:ser>
          <c:idx val="2"/>
          <c:order val="2"/>
          <c:tx>
            <c:v>CDG Grappe</c:v>
          </c:tx>
          <c:spPr>
            <a:ln w="47625" cap="rnd">
              <a:solidFill>
                <a:schemeClr val="accent3"/>
              </a:solidFill>
            </a:ln>
            <a:effectLst>
              <a:glow rad="139700">
                <a:schemeClr val="accent3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3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UMCalc!$AB$5</c:f>
              <c:numCache>
                <c:formatCode>General</c:formatCode>
                <c:ptCount val="1"/>
                <c:pt idx="0">
                  <c:v>-121.19941062492991</c:v>
                </c:pt>
              </c:numCache>
            </c:numRef>
          </c:xVal>
          <c:yVal>
            <c:numRef>
              <c:f>UMCalc!$AC$5</c:f>
              <c:numCache>
                <c:formatCode>General</c:formatCode>
                <c:ptCount val="1"/>
                <c:pt idx="0">
                  <c:v>-874.65648173060924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1CEC-4F1E-B542-917F3C711AB6}"/>
            </c:ext>
          </c:extLst>
        </c:ser>
        <c:ser>
          <c:idx val="4"/>
          <c:order val="3"/>
          <c:tx>
            <c:v>Chaine</c:v>
          </c:tx>
          <c:spPr>
            <a:ln w="22225" cap="rnd">
              <a:solidFill>
                <a:srgbClr val="FFFF00"/>
              </a:solidFill>
            </a:ln>
            <a:effectLst>
              <a:glow rad="139700">
                <a:schemeClr val="accent5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5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5">
                    <a:satMod val="175000"/>
                    <a:alpha val="25000"/>
                  </a:schemeClr>
                </a:glow>
              </a:effectLst>
            </c:spPr>
          </c:marker>
          <c:xVal>
            <c:numRef>
              <c:f>UMCalc!$T$30:$T$31</c:f>
              <c:numCache>
                <c:formatCode>General</c:formatCode>
                <c:ptCount val="2"/>
                <c:pt idx="0">
                  <c:v>-500</c:v>
                </c:pt>
                <c:pt idx="1">
                  <c:v>-574.00726497289793</c:v>
                </c:pt>
              </c:numCache>
            </c:numRef>
          </c:xVal>
          <c:yVal>
            <c:numRef>
              <c:f>UMCalc!$U$30:$U$31</c:f>
              <c:numCache>
                <c:formatCode>General</c:formatCode>
                <c:ptCount val="2"/>
                <c:pt idx="0">
                  <c:v>0</c:v>
                </c:pt>
                <c:pt idx="1">
                  <c:v>-1912.8936114468147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6-1CEC-4F1E-B542-917F3C711A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50109184"/>
        <c:axId val="750112512"/>
        <c:extLst>
          <c:ext xmlns:c15="http://schemas.microsoft.com/office/drawing/2012/chart" uri="{02D57815-91ED-43cb-92C2-25804820EDAC}">
            <c15:filteredScatterSeries>
              <c15:ser>
                <c:idx val="1"/>
                <c:order val="0"/>
                <c:tx>
                  <c:v>CDG</c:v>
                </c:tx>
                <c:spPr>
                  <a:ln w="22225" cap="rnd">
                    <a:solidFill>
                      <a:schemeClr val="accent2"/>
                    </a:solidFill>
                  </a:ln>
                  <a:effectLst>
                    <a:glow rad="139700">
                      <a:schemeClr val="accent2">
                        <a:satMod val="175000"/>
                        <a:alpha val="14000"/>
                      </a:schemeClr>
                    </a:glow>
                  </a:effectLst>
                </c:spPr>
                <c:marker>
                  <c:symbol val="circle"/>
                  <c:size val="3"/>
                  <c:spPr>
                    <a:solidFill>
                      <a:schemeClr val="accent2">
                        <a:lumMod val="60000"/>
                        <a:lumOff val="40000"/>
                      </a:schemeClr>
                    </a:solidFill>
                    <a:ln>
                      <a:noFill/>
                    </a:ln>
                    <a:effectLst>
                      <a:glow rad="63500">
                        <a:schemeClr val="accent2">
                          <a:satMod val="175000"/>
                          <a:alpha val="25000"/>
                        </a:schemeClr>
                      </a:glow>
                    </a:effectLst>
                  </c:spPr>
                </c:marker>
                <c:xVal>
                  <c:numRef>
                    <c:extLst>
                      <c:ext uri="{02D57815-91ED-43cb-92C2-25804820EDAC}">
                        <c15:formulaRef>
                          <c15:sqref>UMCalc!$Z$5:$Z$22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-99</c:v>
                      </c:pt>
                      <c:pt idx="1">
                        <c:v>-99</c:v>
                      </c:pt>
                      <c:pt idx="2">
                        <c:v>-101.89598321422163</c:v>
                      </c:pt>
                      <c:pt idx="3">
                        <c:v>-112.58534968308891</c:v>
                      </c:pt>
                      <c:pt idx="4">
                        <c:v>-135.85248704104868</c:v>
                      </c:pt>
                      <c:pt idx="5">
                        <c:v>-178.86264381122032</c:v>
                      </c:pt>
                      <c:pt idx="6">
                        <c:v>-104.42598489878573</c:v>
                      </c:pt>
                      <c:pt idx="7">
                        <c:v>-104.42598489878573</c:v>
                      </c:pt>
                      <c:pt idx="8">
                        <c:v>-104.42598489878573</c:v>
                      </c:pt>
                      <c:pt idx="9">
                        <c:v>-104.42598489878573</c:v>
                      </c:pt>
                      <c:pt idx="10">
                        <c:v>-104.42598489878573</c:v>
                      </c:pt>
                      <c:pt idx="11">
                        <c:v>-104.42598489878573</c:v>
                      </c:pt>
                      <c:pt idx="12">
                        <c:v>-104.42598489878573</c:v>
                      </c:pt>
                      <c:pt idx="13">
                        <c:v>-104.42598489878573</c:v>
                      </c:pt>
                      <c:pt idx="14">
                        <c:v>-104.42598489878573</c:v>
                      </c:pt>
                      <c:pt idx="15">
                        <c:v>-104.42598489878573</c:v>
                      </c:pt>
                      <c:pt idx="16">
                        <c:v>-104.42598489878573</c:v>
                      </c:pt>
                      <c:pt idx="17">
                        <c:v>-104.42598489878573</c:v>
                      </c:pt>
                    </c:numCache>
                  </c:numRef>
                </c:xVal>
                <c:yVal>
                  <c:numRef>
                    <c:extLst>
                      <c:ext uri="{02D57815-91ED-43cb-92C2-25804820EDAC}">
                        <c15:formulaRef>
                          <c15:sqref>UMCalc!$AA$5:$AA$22</c15:sqref>
                        </c15:formulaRef>
                      </c:ext>
                    </c:extLst>
                    <c:numCache>
                      <c:formatCode>General</c:formatCode>
                      <c:ptCount val="18"/>
                      <c:pt idx="0">
                        <c:v>-166.8</c:v>
                      </c:pt>
                      <c:pt idx="1">
                        <c:v>-452.8</c:v>
                      </c:pt>
                      <c:pt idx="2">
                        <c:v>-737.04680731479505</c:v>
                      </c:pt>
                      <c:pt idx="3">
                        <c:v>-1019.3465875437394</c:v>
                      </c:pt>
                      <c:pt idx="4">
                        <c:v>-1299.1024220384663</c:v>
                      </c:pt>
                      <c:pt idx="5">
                        <c:v>-1572.8430734866547</c:v>
                      </c:pt>
                      <c:pt idx="6">
                        <c:v>-1708.7431242958942</c:v>
                      </c:pt>
                      <c:pt idx="7">
                        <c:v>-1708.7431242958942</c:v>
                      </c:pt>
                      <c:pt idx="8">
                        <c:v>-1708.7431242958942</c:v>
                      </c:pt>
                      <c:pt idx="9">
                        <c:v>-1708.7431242958942</c:v>
                      </c:pt>
                      <c:pt idx="10">
                        <c:v>-1708.7431242958942</c:v>
                      </c:pt>
                      <c:pt idx="11">
                        <c:v>-1708.7431242958942</c:v>
                      </c:pt>
                      <c:pt idx="12">
                        <c:v>-1708.7431242958942</c:v>
                      </c:pt>
                      <c:pt idx="13">
                        <c:v>-1708.7431242958942</c:v>
                      </c:pt>
                      <c:pt idx="14">
                        <c:v>-1708.7431242958942</c:v>
                      </c:pt>
                      <c:pt idx="15">
                        <c:v>-1708.7431242958942</c:v>
                      </c:pt>
                      <c:pt idx="16">
                        <c:v>-1708.7431242958942</c:v>
                      </c:pt>
                      <c:pt idx="17">
                        <c:v>-1708.7431242958942</c:v>
                      </c:pt>
                    </c:numCache>
                  </c:numRef>
                </c:yVal>
                <c:smooth val="1"/>
                <c:extLst>
                  <c:ext xmlns:c16="http://schemas.microsoft.com/office/drawing/2014/chart" uri="{C3380CC4-5D6E-409C-BE32-E72D297353CC}">
                    <c16:uniqueId val="{00000000-1CEC-4F1E-B542-917F3C711AB6}"/>
                  </c:ext>
                </c:extLst>
              </c15:ser>
            </c15:filteredScatterSeries>
          </c:ext>
        </c:extLst>
      </c:scatterChart>
      <c:valAx>
        <c:axId val="750109184"/>
        <c:scaling>
          <c:orientation val="minMax"/>
          <c:max val="1050"/>
          <c:min val="-3450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0"/>
        <c:majorTickMark val="none"/>
        <c:minorTickMark val="none"/>
        <c:tickLblPos val="none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112512"/>
        <c:crosses val="autoZero"/>
        <c:crossBetween val="midCat"/>
        <c:majorUnit val="500"/>
      </c:valAx>
      <c:valAx>
        <c:axId val="75011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one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75010918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3" Type="http://schemas.openxmlformats.org/officeDocument/2006/relationships/image" Target="../media/image3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5" Type="http://schemas.openxmlformats.org/officeDocument/2006/relationships/image" Target="../media/image5.png"/><Relationship Id="rId10" Type="http://schemas.openxmlformats.org/officeDocument/2006/relationships/image" Target="../media/image10.png"/><Relationship Id="rId4" Type="http://schemas.openxmlformats.org/officeDocument/2006/relationships/image" Target="../media/image4.png"/><Relationship Id="rId9" Type="http://schemas.openxmlformats.org/officeDocument/2006/relationships/image" Target="../media/image9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4.jpeg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5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23812</xdr:rowOff>
    </xdr:from>
    <xdr:to>
      <xdr:col>3</xdr:col>
      <xdr:colOff>19050</xdr:colOff>
      <xdr:row>6</xdr:row>
      <xdr:rowOff>22412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138302BD-D85F-454C-843B-6932773A33FC}"/>
            </a:ext>
          </a:extLst>
        </xdr:cNvPr>
        <xdr:cNvSpPr txBox="1"/>
      </xdr:nvSpPr>
      <xdr:spPr>
        <a:xfrm>
          <a:off x="762000" y="595312"/>
          <a:ext cx="1543050" cy="5701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1.</a:t>
          </a:r>
          <a:r>
            <a:rPr lang="fr-FR" sz="1100" baseline="0"/>
            <a:t> </a:t>
          </a:r>
          <a:r>
            <a:rPr lang="fr-FR" sz="1100"/>
            <a:t>Sélectionnez</a:t>
          </a:r>
          <a:r>
            <a:rPr lang="fr-FR" sz="1100" baseline="0"/>
            <a:t> le bumper.</a:t>
          </a:r>
          <a:endParaRPr lang="fr-FR" sz="1100"/>
        </a:p>
      </xdr:txBody>
    </xdr:sp>
    <xdr:clientData/>
  </xdr:twoCellAnchor>
  <xdr:twoCellAnchor>
    <xdr:from>
      <xdr:col>1</xdr:col>
      <xdr:colOff>28575</xdr:colOff>
      <xdr:row>8</xdr:row>
      <xdr:rowOff>4762</xdr:rowOff>
    </xdr:from>
    <xdr:to>
      <xdr:col>3</xdr:col>
      <xdr:colOff>47625</xdr:colOff>
      <xdr:row>14</xdr:row>
      <xdr:rowOff>152400</xdr:rowOff>
    </xdr:to>
    <xdr:sp macro="" textlink="">
      <xdr:nvSpPr>
        <xdr:cNvPr id="3" name="ZoneTexte 2">
          <a:extLst>
            <a:ext uri="{FF2B5EF4-FFF2-40B4-BE49-F238E27FC236}">
              <a16:creationId xmlns:a16="http://schemas.microsoft.com/office/drawing/2014/main" id="{F64B8A0E-C23F-43E8-9C6E-CA7D22F8641C}"/>
            </a:ext>
          </a:extLst>
        </xdr:cNvPr>
        <xdr:cNvSpPr txBox="1"/>
      </xdr:nvSpPr>
      <xdr:spPr>
        <a:xfrm>
          <a:off x="790575" y="1528762"/>
          <a:ext cx="1543050" cy="1290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100"/>
            <a:t>2.</a:t>
          </a:r>
          <a:r>
            <a:rPr lang="fr-FR" sz="1100" baseline="0"/>
            <a:t> </a:t>
          </a:r>
          <a:r>
            <a:rPr lang="fr-FR" sz="1100"/>
            <a:t>Tapez au clavier la valeur de l'angle vertical</a:t>
          </a:r>
          <a:r>
            <a:rPr lang="fr-FR" sz="1100" baseline="0"/>
            <a:t> global du cluster, ou Copiez/ Collez la valeur depuis EASE Focus.</a:t>
          </a:r>
          <a:endParaRPr lang="fr-FR" sz="1100"/>
        </a:p>
      </xdr:txBody>
    </xdr:sp>
    <xdr:clientData/>
  </xdr:twoCellAnchor>
  <xdr:twoCellAnchor editAs="oneCell">
    <xdr:from>
      <xdr:col>4</xdr:col>
      <xdr:colOff>28575</xdr:colOff>
      <xdr:row>8</xdr:row>
      <xdr:rowOff>42862</xdr:rowOff>
    </xdr:from>
    <xdr:to>
      <xdr:col>7</xdr:col>
      <xdr:colOff>505211</xdr:colOff>
      <xdr:row>18</xdr:row>
      <xdr:rowOff>62181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20D35E37-D731-4370-A09F-5F74FF3DAC2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6575" y="1566862"/>
          <a:ext cx="2762636" cy="1924319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12</xdr:row>
      <xdr:rowOff>66675</xdr:rowOff>
    </xdr:from>
    <xdr:to>
      <xdr:col>10</xdr:col>
      <xdr:colOff>171450</xdr:colOff>
      <xdr:row>13</xdr:row>
      <xdr:rowOff>152400</xdr:rowOff>
    </xdr:to>
    <xdr:sp macro="" textlink="">
      <xdr:nvSpPr>
        <xdr:cNvPr id="5" name="Flèche : droite 4">
          <a:extLst>
            <a:ext uri="{FF2B5EF4-FFF2-40B4-BE49-F238E27FC236}">
              <a16:creationId xmlns:a16="http://schemas.microsoft.com/office/drawing/2014/main" id="{E3845884-F3F2-45AA-8016-A87EE1C1DF0B}"/>
            </a:ext>
          </a:extLst>
        </xdr:cNvPr>
        <xdr:cNvSpPr/>
      </xdr:nvSpPr>
      <xdr:spPr>
        <a:xfrm>
          <a:off x="6134100" y="2352675"/>
          <a:ext cx="1657350" cy="276225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57149</xdr:colOff>
      <xdr:row>18</xdr:row>
      <xdr:rowOff>100012</xdr:rowOff>
    </xdr:from>
    <xdr:to>
      <xdr:col>7</xdr:col>
      <xdr:colOff>561974</xdr:colOff>
      <xdr:row>19</xdr:row>
      <xdr:rowOff>180975</xdr:rowOff>
    </xdr:to>
    <xdr:sp macro="" textlink="">
      <xdr:nvSpPr>
        <xdr:cNvPr id="6" name="ZoneTexte 5">
          <a:extLst>
            <a:ext uri="{FF2B5EF4-FFF2-40B4-BE49-F238E27FC236}">
              <a16:creationId xmlns:a16="http://schemas.microsoft.com/office/drawing/2014/main" id="{AB623396-0987-424E-9C4D-D4D83A0E4307}"/>
            </a:ext>
          </a:extLst>
        </xdr:cNvPr>
        <xdr:cNvSpPr txBox="1"/>
      </xdr:nvSpPr>
      <xdr:spPr>
        <a:xfrm>
          <a:off x="3105149" y="3529012"/>
          <a:ext cx="2790825" cy="2714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i="1"/>
            <a:t>Angle</a:t>
          </a:r>
          <a:r>
            <a:rPr lang="fr-FR" sz="1100" i="1" baseline="0"/>
            <a:t> Vertical sous </a:t>
          </a:r>
          <a:r>
            <a:rPr lang="fr-FR" sz="1100" i="1"/>
            <a:t>EASE Focus [°]</a:t>
          </a:r>
        </a:p>
      </xdr:txBody>
    </xdr:sp>
    <xdr:clientData/>
  </xdr:twoCellAnchor>
  <xdr:twoCellAnchor>
    <xdr:from>
      <xdr:col>1</xdr:col>
      <xdr:colOff>19050</xdr:colOff>
      <xdr:row>23</xdr:row>
      <xdr:rowOff>14287</xdr:rowOff>
    </xdr:from>
    <xdr:to>
      <xdr:col>3</xdr:col>
      <xdr:colOff>38100</xdr:colOff>
      <xdr:row>29</xdr:row>
      <xdr:rowOff>161925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7F27499C-87CD-49B3-AF3E-53FD6BDBD361}"/>
            </a:ext>
          </a:extLst>
        </xdr:cNvPr>
        <xdr:cNvSpPr txBox="1"/>
      </xdr:nvSpPr>
      <xdr:spPr>
        <a:xfrm>
          <a:off x="781050" y="4395787"/>
          <a:ext cx="1543050" cy="1290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3. Ajoutez les enceintes</a:t>
          </a:r>
          <a:r>
            <a:rPr lang="fr-FR" sz="1100" baseline="0"/>
            <a:t> UM210 et les angles correspondants en sélectionnant les valeurs dans les listes.</a:t>
          </a:r>
          <a:endParaRPr lang="fr-FR" sz="1100"/>
        </a:p>
      </xdr:txBody>
    </xdr:sp>
    <xdr:clientData/>
  </xdr:twoCellAnchor>
  <xdr:twoCellAnchor>
    <xdr:from>
      <xdr:col>8</xdr:col>
      <xdr:colOff>38100</xdr:colOff>
      <xdr:row>14</xdr:row>
      <xdr:rowOff>23812</xdr:rowOff>
    </xdr:from>
    <xdr:to>
      <xdr:col>10</xdr:col>
      <xdr:colOff>57150</xdr:colOff>
      <xdr:row>17</xdr:row>
      <xdr:rowOff>76200</xdr:rowOff>
    </xdr:to>
    <xdr:sp macro="" textlink="">
      <xdr:nvSpPr>
        <xdr:cNvPr id="8" name="ZoneTexte 7">
          <a:extLst>
            <a:ext uri="{FF2B5EF4-FFF2-40B4-BE49-F238E27FC236}">
              <a16:creationId xmlns:a16="http://schemas.microsoft.com/office/drawing/2014/main" id="{C2B325A7-ABFD-45A9-BCA2-27C1CC5992B4}"/>
            </a:ext>
          </a:extLst>
        </xdr:cNvPr>
        <xdr:cNvSpPr txBox="1"/>
      </xdr:nvSpPr>
      <xdr:spPr>
        <a:xfrm>
          <a:off x="6134100" y="2690812"/>
          <a:ext cx="1543050" cy="6238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aseline="0"/>
            <a:t>Copiez/ Collez la valeur depuis EASE Focus vers APG UMCalc.</a:t>
          </a:r>
          <a:endParaRPr lang="fr-FR" sz="1100"/>
        </a:p>
      </xdr:txBody>
    </xdr:sp>
    <xdr:clientData/>
  </xdr:twoCellAnchor>
  <xdr:twoCellAnchor>
    <xdr:from>
      <xdr:col>1</xdr:col>
      <xdr:colOff>19050</xdr:colOff>
      <xdr:row>42</xdr:row>
      <xdr:rowOff>33337</xdr:rowOff>
    </xdr:from>
    <xdr:to>
      <xdr:col>3</xdr:col>
      <xdr:colOff>38100</xdr:colOff>
      <xdr:row>48</xdr:row>
      <xdr:rowOff>180975</xdr:rowOff>
    </xdr:to>
    <xdr:sp macro="" textlink="">
      <xdr:nvSpPr>
        <xdr:cNvPr id="9" name="ZoneTexte 8">
          <a:extLst>
            <a:ext uri="{FF2B5EF4-FFF2-40B4-BE49-F238E27FC236}">
              <a16:creationId xmlns:a16="http://schemas.microsoft.com/office/drawing/2014/main" id="{EE30264A-D59C-419F-916A-E57E1DFE7FF8}"/>
            </a:ext>
          </a:extLst>
        </xdr:cNvPr>
        <xdr:cNvSpPr txBox="1"/>
      </xdr:nvSpPr>
      <xdr:spPr>
        <a:xfrm>
          <a:off x="781050" y="8034337"/>
          <a:ext cx="1543050" cy="1290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4. Sélectionnez le mode de suspension</a:t>
          </a:r>
          <a:r>
            <a:rPr lang="fr-FR" sz="1100" baseline="0"/>
            <a:t> (Tension ou Compression).</a:t>
          </a:r>
          <a:endParaRPr lang="fr-FR" sz="1100"/>
        </a:p>
      </xdr:txBody>
    </xdr:sp>
    <xdr:clientData/>
  </xdr:twoCellAnchor>
  <xdr:twoCellAnchor>
    <xdr:from>
      <xdr:col>1</xdr:col>
      <xdr:colOff>0</xdr:colOff>
      <xdr:row>53</xdr:row>
      <xdr:rowOff>23811</xdr:rowOff>
    </xdr:from>
    <xdr:to>
      <xdr:col>3</xdr:col>
      <xdr:colOff>19050</xdr:colOff>
      <xdr:row>69</xdr:row>
      <xdr:rowOff>42333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40068BD1-726C-4660-B329-B2D33E2D7640}"/>
            </a:ext>
          </a:extLst>
        </xdr:cNvPr>
        <xdr:cNvSpPr txBox="1"/>
      </xdr:nvSpPr>
      <xdr:spPr>
        <a:xfrm>
          <a:off x="762000" y="10120311"/>
          <a:ext cx="1543050" cy="306652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4. [Seulement pour le mode Compression]</a:t>
          </a:r>
        </a:p>
        <a:p>
          <a:endParaRPr lang="fr-FR" sz="1100"/>
        </a:p>
        <a:p>
          <a:r>
            <a:rPr lang="fr-FR" sz="1100"/>
            <a:t>Sélectionnez la force du palan à levier pour la compression.</a:t>
          </a:r>
          <a:endParaRPr lang="fr-FR" sz="1100" baseline="0"/>
        </a:p>
        <a:p>
          <a:r>
            <a:rPr lang="fr-FR" sz="1100" b="1" baseline="0"/>
            <a:t>250daN: Recommandée pour la plupart des applications.</a:t>
          </a:r>
        </a:p>
        <a:p>
          <a:r>
            <a:rPr lang="fr-FR" sz="1100" baseline="0"/>
            <a:t>375 daN : Uniquement si la valeur de 250 daN est insuffisante.</a:t>
          </a:r>
        </a:p>
        <a:p>
          <a:endParaRPr lang="fr-FR" sz="1100" baseline="0"/>
        </a:p>
        <a:p>
          <a:r>
            <a:rPr lang="fr-FR" sz="1100" baseline="0"/>
            <a:t>500 daN : Uniquement si la valeur de 375 daN est insuffisante.</a:t>
          </a:r>
          <a:endParaRPr lang="fr-FR" sz="1100"/>
        </a:p>
      </xdr:txBody>
    </xdr:sp>
    <xdr:clientData/>
  </xdr:twoCellAnchor>
  <xdr:twoCellAnchor>
    <xdr:from>
      <xdr:col>9</xdr:col>
      <xdr:colOff>28574</xdr:colOff>
      <xdr:row>25</xdr:row>
      <xdr:rowOff>33337</xdr:rowOff>
    </xdr:from>
    <xdr:to>
      <xdr:col>11</xdr:col>
      <xdr:colOff>161925</xdr:colOff>
      <xdr:row>32</xdr:row>
      <xdr:rowOff>66675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392B2A02-2B7E-4F93-8153-9903EC9D2E4E}"/>
            </a:ext>
          </a:extLst>
        </xdr:cNvPr>
        <xdr:cNvSpPr txBox="1"/>
      </xdr:nvSpPr>
      <xdr:spPr>
        <a:xfrm>
          <a:off x="6886574" y="4795837"/>
          <a:ext cx="1657351" cy="1366838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/!\ 8x UM210 maximum avec UMRAIL.</a:t>
          </a:r>
        </a:p>
        <a:p>
          <a:r>
            <a:rPr lang="fr-FR" sz="1100">
              <a:solidFill>
                <a:schemeClr val="tx1"/>
              </a:solidFill>
            </a:rPr>
            <a:t>CMU = 400kg</a:t>
          </a:r>
        </a:p>
        <a:p>
          <a:endParaRPr lang="fr-FR" sz="1100"/>
        </a:p>
        <a:p>
          <a:r>
            <a:rPr lang="fr-FR" sz="1100" baseline="0"/>
            <a:t>/!\ 18x UM210 maximum avec UMTRUSS</a:t>
          </a:r>
        </a:p>
        <a:p>
          <a:r>
            <a:rPr lang="fr-FR" sz="1100" baseline="0"/>
            <a:t>CMU = 800kg</a:t>
          </a:r>
          <a:endParaRPr lang="fr-FR" sz="1100"/>
        </a:p>
      </xdr:txBody>
    </xdr:sp>
    <xdr:clientData/>
  </xdr:twoCellAnchor>
  <xdr:twoCellAnchor editAs="oneCell">
    <xdr:from>
      <xdr:col>4</xdr:col>
      <xdr:colOff>666750</xdr:colOff>
      <xdr:row>2</xdr:row>
      <xdr:rowOff>0</xdr:rowOff>
    </xdr:from>
    <xdr:to>
      <xdr:col>6</xdr:col>
      <xdr:colOff>133488</xdr:colOff>
      <xdr:row>6</xdr:row>
      <xdr:rowOff>47738</xdr:rowOff>
    </xdr:to>
    <xdr:pic>
      <xdr:nvPicPr>
        <xdr:cNvPr id="12" name="Image 11">
          <a:extLst>
            <a:ext uri="{FF2B5EF4-FFF2-40B4-BE49-F238E27FC236}">
              <a16:creationId xmlns:a16="http://schemas.microsoft.com/office/drawing/2014/main" id="{9CB9D2F9-D4E6-4E73-B56E-197614FB349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14750" y="381000"/>
          <a:ext cx="990738" cy="809738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11</xdr:row>
      <xdr:rowOff>85725</xdr:rowOff>
    </xdr:from>
    <xdr:to>
      <xdr:col>11</xdr:col>
      <xdr:colOff>600157</xdr:colOff>
      <xdr:row>13</xdr:row>
      <xdr:rowOff>114357</xdr:rowOff>
    </xdr:to>
    <xdr:pic>
      <xdr:nvPicPr>
        <xdr:cNvPr id="13" name="Image 12">
          <a:extLst>
            <a:ext uri="{FF2B5EF4-FFF2-40B4-BE49-F238E27FC236}">
              <a16:creationId xmlns:a16="http://schemas.microsoft.com/office/drawing/2014/main" id="{21B2C37A-E383-4FB3-B712-36862B0DD81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91525" y="2181225"/>
          <a:ext cx="590632" cy="409632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22</xdr:row>
      <xdr:rowOff>28575</xdr:rowOff>
    </xdr:from>
    <xdr:to>
      <xdr:col>5</xdr:col>
      <xdr:colOff>733620</xdr:colOff>
      <xdr:row>37</xdr:row>
      <xdr:rowOff>133763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4465BD0E-533A-4217-B418-8FF83571809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143250" y="4219575"/>
          <a:ext cx="1400370" cy="2962688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22</xdr:row>
      <xdr:rowOff>57151</xdr:rowOff>
    </xdr:from>
    <xdr:to>
      <xdr:col>8</xdr:col>
      <xdr:colOff>276225</xdr:colOff>
      <xdr:row>37</xdr:row>
      <xdr:rowOff>145213</xdr:rowOff>
    </xdr:to>
    <xdr:pic>
      <xdr:nvPicPr>
        <xdr:cNvPr id="15" name="Image 14">
          <a:extLst>
            <a:ext uri="{FF2B5EF4-FFF2-40B4-BE49-F238E27FC236}">
              <a16:creationId xmlns:a16="http://schemas.microsoft.com/office/drawing/2014/main" id="{9B9B29B5-A67A-4F0A-8463-6CADC0816E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53000" y="4248151"/>
          <a:ext cx="1419225" cy="2945562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42</xdr:row>
      <xdr:rowOff>114300</xdr:rowOff>
    </xdr:from>
    <xdr:to>
      <xdr:col>9</xdr:col>
      <xdr:colOff>543550</xdr:colOff>
      <xdr:row>47</xdr:row>
      <xdr:rowOff>95380</xdr:rowOff>
    </xdr:to>
    <xdr:pic>
      <xdr:nvPicPr>
        <xdr:cNvPr id="16" name="Image 15">
          <a:extLst>
            <a:ext uri="{FF2B5EF4-FFF2-40B4-BE49-F238E27FC236}">
              <a16:creationId xmlns:a16="http://schemas.microsoft.com/office/drawing/2014/main" id="{65B49431-374B-491D-BCCC-FC7364E05EE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924175" y="8115300"/>
          <a:ext cx="4477375" cy="933580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38100</xdr:colOff>
      <xdr:row>39</xdr:row>
      <xdr:rowOff>47626</xdr:rowOff>
    </xdr:from>
    <xdr:to>
      <xdr:col>14</xdr:col>
      <xdr:colOff>753676</xdr:colOff>
      <xdr:row>50</xdr:row>
      <xdr:rowOff>125342</xdr:rowOff>
    </xdr:to>
    <xdr:pic>
      <xdr:nvPicPr>
        <xdr:cNvPr id="17" name="Image 16">
          <a:extLst>
            <a:ext uri="{FF2B5EF4-FFF2-40B4-BE49-F238E27FC236}">
              <a16:creationId xmlns:a16="http://schemas.microsoft.com/office/drawing/2014/main" id="{CA36B3C4-B787-4762-A97A-7AB5891EF84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58100" y="7477126"/>
          <a:ext cx="3763576" cy="2173216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70</xdr:row>
      <xdr:rowOff>38100</xdr:rowOff>
    </xdr:from>
    <xdr:to>
      <xdr:col>9</xdr:col>
      <xdr:colOff>419686</xdr:colOff>
      <xdr:row>72</xdr:row>
      <xdr:rowOff>28575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886A1C79-09DC-4BBE-A1E3-A02C870BCC99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b="69052"/>
        <a:stretch>
          <a:fillRect/>
        </a:stretch>
      </xdr:blipFill>
      <xdr:spPr>
        <a:xfrm>
          <a:off x="3076575" y="13373100"/>
          <a:ext cx="4201111" cy="371475"/>
        </a:xfrm>
        <a:prstGeom prst="rect">
          <a:avLst/>
        </a:prstGeom>
      </xdr:spPr>
    </xdr:pic>
    <xdr:clientData/>
  </xdr:twoCellAnchor>
  <xdr:twoCellAnchor>
    <xdr:from>
      <xdr:col>1</xdr:col>
      <xdr:colOff>31506</xdr:colOff>
      <xdr:row>70</xdr:row>
      <xdr:rowOff>16484</xdr:rowOff>
    </xdr:from>
    <xdr:to>
      <xdr:col>3</xdr:col>
      <xdr:colOff>50556</xdr:colOff>
      <xdr:row>78</xdr:row>
      <xdr:rowOff>43962</xdr:rowOff>
    </xdr:to>
    <xdr:sp macro="" textlink="">
      <xdr:nvSpPr>
        <xdr:cNvPr id="20" name="ZoneTexte 19">
          <a:extLst>
            <a:ext uri="{FF2B5EF4-FFF2-40B4-BE49-F238E27FC236}">
              <a16:creationId xmlns:a16="http://schemas.microsoft.com/office/drawing/2014/main" id="{4B839677-9A24-435A-9F9A-9FFCC8B0959C}"/>
            </a:ext>
          </a:extLst>
        </xdr:cNvPr>
        <xdr:cNvSpPr txBox="1"/>
      </xdr:nvSpPr>
      <xdr:spPr>
        <a:xfrm>
          <a:off x="793506" y="13351484"/>
          <a:ext cx="1543050" cy="155147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5.</a:t>
          </a:r>
          <a:r>
            <a:rPr lang="fr-FR" sz="1100" baseline="0"/>
            <a:t> Le tableur affiche désormais l'état du test de compression. Pour pouvoir valider une configuration, la valeur doit être "OK" et la cellule de couleur verte.</a:t>
          </a:r>
        </a:p>
        <a:p>
          <a:endParaRPr lang="fr-FR" sz="1100" baseline="0"/>
        </a:p>
      </xdr:txBody>
    </xdr:sp>
    <xdr:clientData/>
  </xdr:twoCellAnchor>
  <xdr:twoCellAnchor editAs="oneCell">
    <xdr:from>
      <xdr:col>4</xdr:col>
      <xdr:colOff>0</xdr:colOff>
      <xdr:row>94</xdr:row>
      <xdr:rowOff>28575</xdr:rowOff>
    </xdr:from>
    <xdr:to>
      <xdr:col>9</xdr:col>
      <xdr:colOff>391111</xdr:colOff>
      <xdr:row>96</xdr:row>
      <xdr:rowOff>28743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2C42AF52-EE8F-4142-B5DD-03E807E7DDBD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68245"/>
        <a:stretch>
          <a:fillRect/>
        </a:stretch>
      </xdr:blipFill>
      <xdr:spPr>
        <a:xfrm>
          <a:off x="3048000" y="17935575"/>
          <a:ext cx="4201111" cy="381168"/>
        </a:xfrm>
        <a:prstGeom prst="rect">
          <a:avLst/>
        </a:prstGeom>
      </xdr:spPr>
    </xdr:pic>
    <xdr:clientData/>
  </xdr:twoCellAnchor>
  <xdr:twoCellAnchor editAs="oneCell">
    <xdr:from>
      <xdr:col>3</xdr:col>
      <xdr:colOff>723900</xdr:colOff>
      <xdr:row>86</xdr:row>
      <xdr:rowOff>171449</xdr:rowOff>
    </xdr:from>
    <xdr:to>
      <xdr:col>9</xdr:col>
      <xdr:colOff>353011</xdr:colOff>
      <xdr:row>89</xdr:row>
      <xdr:rowOff>161924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92794102-77FE-4C66-9F5A-87A350C3553C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26186" b="26995"/>
        <a:stretch>
          <a:fillRect/>
        </a:stretch>
      </xdr:blipFill>
      <xdr:spPr>
        <a:xfrm>
          <a:off x="3009900" y="16554449"/>
          <a:ext cx="4201111" cy="561975"/>
        </a:xfrm>
        <a:prstGeom prst="rect">
          <a:avLst/>
        </a:prstGeom>
      </xdr:spPr>
    </xdr:pic>
    <xdr:clientData/>
  </xdr:twoCellAnchor>
  <xdr:twoCellAnchor>
    <xdr:from>
      <xdr:col>7</xdr:col>
      <xdr:colOff>466725</xdr:colOff>
      <xdr:row>72</xdr:row>
      <xdr:rowOff>119061</xdr:rowOff>
    </xdr:from>
    <xdr:to>
      <xdr:col>9</xdr:col>
      <xdr:colOff>485775</xdr:colOff>
      <xdr:row>82</xdr:row>
      <xdr:rowOff>66675</xdr:rowOff>
    </xdr:to>
    <xdr:sp macro="" textlink="">
      <xdr:nvSpPr>
        <xdr:cNvPr id="23" name="ZoneTexte 22">
          <a:extLst>
            <a:ext uri="{FF2B5EF4-FFF2-40B4-BE49-F238E27FC236}">
              <a16:creationId xmlns:a16="http://schemas.microsoft.com/office/drawing/2014/main" id="{DD42247A-060B-4E50-877D-620E3683D508}"/>
            </a:ext>
          </a:extLst>
        </xdr:cNvPr>
        <xdr:cNvSpPr txBox="1"/>
      </xdr:nvSpPr>
      <xdr:spPr>
        <a:xfrm>
          <a:off x="5800725" y="13835061"/>
          <a:ext cx="1543050" cy="18526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[OK]: La force du palan à levier est suffisante pour obtenir les angles désirés.</a:t>
          </a:r>
        </a:p>
        <a:p>
          <a:endParaRPr lang="fr-FR">
            <a:effectLst/>
          </a:endParaRPr>
        </a:p>
        <a:p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[NOK]: La force du palan à levier n'est pas suffisante ou est excessive.</a:t>
          </a:r>
          <a:endParaRPr lang="fr-FR">
            <a:effectLst/>
          </a:endParaRPr>
        </a:p>
      </xdr:txBody>
    </xdr:sp>
    <xdr:clientData/>
  </xdr:twoCellAnchor>
  <xdr:twoCellAnchor>
    <xdr:from>
      <xdr:col>1</xdr:col>
      <xdr:colOff>38100</xdr:colOff>
      <xdr:row>87</xdr:row>
      <xdr:rowOff>33335</xdr:rowOff>
    </xdr:from>
    <xdr:to>
      <xdr:col>3</xdr:col>
      <xdr:colOff>57150</xdr:colOff>
      <xdr:row>90</xdr:row>
      <xdr:rowOff>153864</xdr:rowOff>
    </xdr:to>
    <xdr:sp macro="" textlink="">
      <xdr:nvSpPr>
        <xdr:cNvPr id="24" name="ZoneTexte 23">
          <a:extLst>
            <a:ext uri="{FF2B5EF4-FFF2-40B4-BE49-F238E27FC236}">
              <a16:creationId xmlns:a16="http://schemas.microsoft.com/office/drawing/2014/main" id="{93AF8992-B5E5-4562-B54E-25D8D3B307B0}"/>
            </a:ext>
          </a:extLst>
        </xdr:cNvPr>
        <xdr:cNvSpPr txBox="1"/>
      </xdr:nvSpPr>
      <xdr:spPr>
        <a:xfrm>
          <a:off x="800100" y="16606835"/>
          <a:ext cx="1543050" cy="6920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6.</a:t>
          </a:r>
          <a:r>
            <a:rPr lang="fr-FR" sz="1100" baseline="0"/>
            <a:t> Le tableur affiche le coefficient de sécurité global.</a:t>
          </a:r>
          <a:endParaRPr lang="fr-FR" sz="1100"/>
        </a:p>
      </xdr:txBody>
    </xdr:sp>
    <xdr:clientData/>
  </xdr:twoCellAnchor>
  <xdr:twoCellAnchor>
    <xdr:from>
      <xdr:col>10</xdr:col>
      <xdr:colOff>38098</xdr:colOff>
      <xdr:row>55</xdr:row>
      <xdr:rowOff>19577</xdr:rowOff>
    </xdr:from>
    <xdr:to>
      <xdr:col>13</xdr:col>
      <xdr:colOff>400049</xdr:colOff>
      <xdr:row>76</xdr:row>
      <xdr:rowOff>52916</xdr:rowOff>
    </xdr:to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260F4A8A-C6A3-44E6-97BD-B46677C28F0B}"/>
            </a:ext>
          </a:extLst>
        </xdr:cNvPr>
        <xdr:cNvSpPr txBox="1"/>
      </xdr:nvSpPr>
      <xdr:spPr>
        <a:xfrm>
          <a:off x="7658098" y="10497077"/>
          <a:ext cx="2647951" cy="4033839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Utilisez uniquement</a:t>
          </a:r>
          <a:r>
            <a:rPr lang="fr-FR" sz="1100" baseline="0"/>
            <a:t> des palans à levier 250daN ou 500daN lors du levage en mode Compression.</a:t>
          </a:r>
          <a:br>
            <a:rPr lang="fr-FR" sz="1100" baseline="0"/>
          </a:br>
          <a:br>
            <a:rPr lang="fr-FR" sz="1100" baseline="0"/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/!\ En dessous de</a:t>
          </a:r>
          <a:r>
            <a:rPr lang="fr-FR" sz="1100" baseline="0"/>
            <a:t> 250daN, la force appliquée par le palan à levier pourrait être trop faible pour obtenir l'angulation voulue entre les enceintes.</a:t>
          </a:r>
        </a:p>
        <a:p>
          <a:endParaRPr lang="fr-FR" sz="1100" baseline="0"/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/!\ Au delà de</a:t>
          </a:r>
          <a:r>
            <a:rPr lang="fr-FR" sz="1100" baseline="0"/>
            <a:t> 500daN (en utilisant par exemple un palan 1000daN), la force appliquée pourrait endommager les parties mécaniques du line array et aller jusqu'à les casser !</a:t>
          </a:r>
        </a:p>
        <a:p>
          <a:endParaRPr lang="fr-FR" sz="1100" baseline="0"/>
        </a:p>
        <a:p>
          <a:r>
            <a:rPr lang="fr-FR" sz="1100"/>
            <a:t>/!\ La valeur de force de 375 daN pour le palan à levier est obtenue avec un palan à levier de 500 daN, mais pas à sa pleine capacité de compression. Un dynamomètre doit être utilisé pour déterminer la force exacte appliquée au dispositif de compression.</a:t>
          </a:r>
        </a:p>
      </xdr:txBody>
    </xdr:sp>
    <xdr:clientData/>
  </xdr:twoCellAnchor>
  <xdr:twoCellAnchor>
    <xdr:from>
      <xdr:col>10</xdr:col>
      <xdr:colOff>28574</xdr:colOff>
      <xdr:row>86</xdr:row>
      <xdr:rowOff>152400</xdr:rowOff>
    </xdr:from>
    <xdr:to>
      <xdr:col>13</xdr:col>
      <xdr:colOff>390525</xdr:colOff>
      <xdr:row>89</xdr:row>
      <xdr:rowOff>161926</xdr:rowOff>
    </xdr:to>
    <xdr:sp macro="" textlink="">
      <xdr:nvSpPr>
        <xdr:cNvPr id="26" name="ZoneTexte 25">
          <a:extLst>
            <a:ext uri="{FF2B5EF4-FFF2-40B4-BE49-F238E27FC236}">
              <a16:creationId xmlns:a16="http://schemas.microsoft.com/office/drawing/2014/main" id="{F9F2B5A6-640C-424E-84E8-7A51EBD2E833}"/>
            </a:ext>
          </a:extLst>
        </xdr:cNvPr>
        <xdr:cNvSpPr txBox="1"/>
      </xdr:nvSpPr>
      <xdr:spPr>
        <a:xfrm>
          <a:off x="7648574" y="16535400"/>
          <a:ext cx="2647951" cy="581026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Le coefficient de sécurité global</a:t>
          </a:r>
          <a:r>
            <a:rPr lang="fr-FR" sz="1100" baseline="0"/>
            <a:t> doit toujours être supérieur ou égal à 4.</a:t>
          </a:r>
          <a:endParaRPr lang="fr-FR" sz="1100"/>
        </a:p>
      </xdr:txBody>
    </xdr:sp>
    <xdr:clientData/>
  </xdr:twoCellAnchor>
  <xdr:twoCellAnchor>
    <xdr:from>
      <xdr:col>1</xdr:col>
      <xdr:colOff>57150</xdr:colOff>
      <xdr:row>94</xdr:row>
      <xdr:rowOff>23810</xdr:rowOff>
    </xdr:from>
    <xdr:to>
      <xdr:col>3</xdr:col>
      <xdr:colOff>76200</xdr:colOff>
      <xdr:row>98</xdr:row>
      <xdr:rowOff>19049</xdr:rowOff>
    </xdr:to>
    <xdr:sp macro="" textlink="">
      <xdr:nvSpPr>
        <xdr:cNvPr id="27" name="ZoneTexte 26">
          <a:extLst>
            <a:ext uri="{FF2B5EF4-FFF2-40B4-BE49-F238E27FC236}">
              <a16:creationId xmlns:a16="http://schemas.microsoft.com/office/drawing/2014/main" id="{8C6E3EDD-30B5-46D0-9F44-09703DF661CF}"/>
            </a:ext>
          </a:extLst>
        </xdr:cNvPr>
        <xdr:cNvSpPr txBox="1"/>
      </xdr:nvSpPr>
      <xdr:spPr>
        <a:xfrm>
          <a:off x="819150" y="17930810"/>
          <a:ext cx="1543050" cy="7572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7. Le tableur affiche l'état</a:t>
          </a:r>
          <a:r>
            <a:rPr lang="fr-FR" sz="1100" baseline="0"/>
            <a:t> du test de la configuration.</a:t>
          </a:r>
          <a:endParaRPr lang="fr-FR" sz="1100"/>
        </a:p>
      </xdr:txBody>
    </xdr:sp>
    <xdr:clientData/>
  </xdr:twoCellAnchor>
  <xdr:twoCellAnchor>
    <xdr:from>
      <xdr:col>10</xdr:col>
      <xdr:colOff>19049</xdr:colOff>
      <xdr:row>94</xdr:row>
      <xdr:rowOff>19049</xdr:rowOff>
    </xdr:from>
    <xdr:to>
      <xdr:col>13</xdr:col>
      <xdr:colOff>381000</xdr:colOff>
      <xdr:row>98</xdr:row>
      <xdr:rowOff>161192</xdr:rowOff>
    </xdr:to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72FD985F-6513-4BA3-B0C7-80DF5692A926}"/>
            </a:ext>
          </a:extLst>
        </xdr:cNvPr>
        <xdr:cNvSpPr txBox="1"/>
      </xdr:nvSpPr>
      <xdr:spPr>
        <a:xfrm>
          <a:off x="7639049" y="17926049"/>
          <a:ext cx="2647951" cy="904143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L'état du 'Configuration Check' doit toujours être 'OK' et la cellule de couleur verte</a:t>
          </a:r>
          <a:r>
            <a:rPr lang="fr-FR" sz="1100" baseline="0"/>
            <a:t> afin de valider la confuguration avant levage du cluster Line Array.</a:t>
          </a:r>
          <a:endParaRPr lang="fr-FR" sz="1100"/>
        </a:p>
      </xdr:txBody>
    </xdr:sp>
    <xdr:clientData/>
  </xdr:twoCellAnchor>
  <xdr:twoCellAnchor editAs="oneCell">
    <xdr:from>
      <xdr:col>4</xdr:col>
      <xdr:colOff>9525</xdr:colOff>
      <xdr:row>101</xdr:row>
      <xdr:rowOff>54429</xdr:rowOff>
    </xdr:from>
    <xdr:to>
      <xdr:col>9</xdr:col>
      <xdr:colOff>410163</xdr:colOff>
      <xdr:row>102</xdr:row>
      <xdr:rowOff>66674</xdr:rowOff>
    </xdr:to>
    <xdr:pic>
      <xdr:nvPicPr>
        <xdr:cNvPr id="29" name="Image 28">
          <a:extLst>
            <a:ext uri="{FF2B5EF4-FFF2-40B4-BE49-F238E27FC236}">
              <a16:creationId xmlns:a16="http://schemas.microsoft.com/office/drawing/2014/main" id="{F77EDD64-4856-4826-A095-8913CEF7BF1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6312" b="44193"/>
        <a:stretch>
          <a:fillRect/>
        </a:stretch>
      </xdr:blipFill>
      <xdr:spPr>
        <a:xfrm>
          <a:off x="3057525" y="19294929"/>
          <a:ext cx="4210638" cy="202745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101</xdr:row>
      <xdr:rowOff>14285</xdr:rowOff>
    </xdr:from>
    <xdr:to>
      <xdr:col>3</xdr:col>
      <xdr:colOff>38100</xdr:colOff>
      <xdr:row>107</xdr:row>
      <xdr:rowOff>168519</xdr:rowOff>
    </xdr:to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086F7429-D3A7-43FA-8D91-AADDA50FBEE9}"/>
            </a:ext>
          </a:extLst>
        </xdr:cNvPr>
        <xdr:cNvSpPr txBox="1"/>
      </xdr:nvSpPr>
      <xdr:spPr>
        <a:xfrm>
          <a:off x="781050" y="19254785"/>
          <a:ext cx="1543050" cy="129723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8.</a:t>
          </a:r>
          <a:r>
            <a:rPr lang="fr-FR" sz="1100" baseline="0"/>
            <a:t> Le tableur affiche l'estimation de charge apportée par le câblage, qui est utilisée dans le calcul de charge du cluster.</a:t>
          </a:r>
          <a:endParaRPr lang="fr-FR" sz="1100"/>
        </a:p>
      </xdr:txBody>
    </xdr:sp>
    <xdr:clientData/>
  </xdr:twoCellAnchor>
  <xdr:twoCellAnchor editAs="oneCell">
    <xdr:from>
      <xdr:col>10</xdr:col>
      <xdr:colOff>38100</xdr:colOff>
      <xdr:row>100</xdr:row>
      <xdr:rowOff>28575</xdr:rowOff>
    </xdr:from>
    <xdr:to>
      <xdr:col>20</xdr:col>
      <xdr:colOff>515480</xdr:colOff>
      <xdr:row>123</xdr:row>
      <xdr:rowOff>181608</xdr:rowOff>
    </xdr:to>
    <xdr:pic>
      <xdr:nvPicPr>
        <xdr:cNvPr id="31" name="Image 30">
          <a:extLst>
            <a:ext uri="{FF2B5EF4-FFF2-40B4-BE49-F238E27FC236}">
              <a16:creationId xmlns:a16="http://schemas.microsoft.com/office/drawing/2014/main" id="{6F564EFD-A89D-496A-984E-A9DE4AF2F2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658100" y="19078575"/>
          <a:ext cx="8097380" cy="4534533"/>
        </a:xfrm>
        <a:prstGeom prst="rect">
          <a:avLst/>
        </a:prstGeom>
      </xdr:spPr>
    </xdr:pic>
    <xdr:clientData/>
  </xdr:twoCellAnchor>
  <xdr:twoCellAnchor>
    <xdr:from>
      <xdr:col>4</xdr:col>
      <xdr:colOff>19050</xdr:colOff>
      <xdr:row>103</xdr:row>
      <xdr:rowOff>138110</xdr:rowOff>
    </xdr:from>
    <xdr:to>
      <xdr:col>9</xdr:col>
      <xdr:colOff>342900</xdr:colOff>
      <xdr:row>113</xdr:row>
      <xdr:rowOff>0</xdr:rowOff>
    </xdr:to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BC70FC88-3BB6-4C92-8D66-25463ADF828A}"/>
            </a:ext>
          </a:extLst>
        </xdr:cNvPr>
        <xdr:cNvSpPr txBox="1"/>
      </xdr:nvSpPr>
      <xdr:spPr>
        <a:xfrm>
          <a:off x="3067050" y="19759610"/>
          <a:ext cx="4133850" cy="17668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La</a:t>
          </a:r>
          <a:r>
            <a:rPr lang="fr-FR" sz="1100" baseline="0"/>
            <a:t> valeur de charge des cables peut être modifiée en utilisant l'onglet 'CablesWeight' du même classeur Excel APG UMCalc.</a:t>
          </a:r>
        </a:p>
        <a:p>
          <a:endParaRPr lang="fr-FR" sz="1100" baseline="0"/>
        </a:p>
        <a:p>
          <a:r>
            <a:rPr lang="fr-FR" sz="1100" baseline="0"/>
            <a:t>Utilisez les cellules blanches entourées en bleu pour taper au clavier le nombre de câbles et accessoires utilisés dans votre cluster Line Array.</a:t>
          </a:r>
        </a:p>
        <a:p>
          <a:endParaRPr lang="fr-FR" sz="1100" baseline="0"/>
        </a:p>
        <a:p>
          <a:r>
            <a:rPr lang="fr-FR" sz="1100" baseline="0"/>
            <a:t>Le résultat du calcul de charge des câbles est alors affiché et directement utilisé dans le tableur APG UMCalc.</a:t>
          </a:r>
        </a:p>
      </xdr:txBody>
    </xdr:sp>
    <xdr:clientData/>
  </xdr:twoCellAnchor>
  <xdr:twoCellAnchor editAs="oneCell">
    <xdr:from>
      <xdr:col>3</xdr:col>
      <xdr:colOff>752475</xdr:colOff>
      <xdr:row>130</xdr:row>
      <xdr:rowOff>0</xdr:rowOff>
    </xdr:from>
    <xdr:to>
      <xdr:col>9</xdr:col>
      <xdr:colOff>391113</xdr:colOff>
      <xdr:row>131</xdr:row>
      <xdr:rowOff>28632</xdr:rowOff>
    </xdr:to>
    <xdr:pic>
      <xdr:nvPicPr>
        <xdr:cNvPr id="33" name="Image 32">
          <a:extLst>
            <a:ext uri="{FF2B5EF4-FFF2-40B4-BE49-F238E27FC236}">
              <a16:creationId xmlns:a16="http://schemas.microsoft.com/office/drawing/2014/main" id="{4C3C8364-7FEF-49A3-9031-24674DFDD21A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46505"/>
        <a:stretch>
          <a:fillRect/>
        </a:stretch>
      </xdr:blipFill>
      <xdr:spPr>
        <a:xfrm>
          <a:off x="3038475" y="24765000"/>
          <a:ext cx="4210638" cy="219132"/>
        </a:xfrm>
        <a:prstGeom prst="rect">
          <a:avLst/>
        </a:prstGeom>
      </xdr:spPr>
    </xdr:pic>
    <xdr:clientData/>
  </xdr:twoCellAnchor>
  <xdr:twoCellAnchor>
    <xdr:from>
      <xdr:col>8</xdr:col>
      <xdr:colOff>609600</xdr:colOff>
      <xdr:row>102</xdr:row>
      <xdr:rowOff>76200</xdr:rowOff>
    </xdr:from>
    <xdr:to>
      <xdr:col>15</xdr:col>
      <xdr:colOff>571500</xdr:colOff>
      <xdr:row>122</xdr:row>
      <xdr:rowOff>47625</xdr:rowOff>
    </xdr:to>
    <xdr:cxnSp macro="">
      <xdr:nvCxnSpPr>
        <xdr:cNvPr id="34" name="Connecteur droit avec flèche 33">
          <a:extLst>
            <a:ext uri="{FF2B5EF4-FFF2-40B4-BE49-F238E27FC236}">
              <a16:creationId xmlns:a16="http://schemas.microsoft.com/office/drawing/2014/main" id="{E14E0F17-7E9F-4B78-9A43-A23376E2A3BA}"/>
            </a:ext>
          </a:extLst>
        </xdr:cNvPr>
        <xdr:cNvCxnSpPr/>
      </xdr:nvCxnSpPr>
      <xdr:spPr>
        <a:xfrm flipH="1" flipV="1">
          <a:off x="6705600" y="19507200"/>
          <a:ext cx="5295900" cy="37814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66675</xdr:colOff>
      <xdr:row>124</xdr:row>
      <xdr:rowOff>38100</xdr:rowOff>
    </xdr:from>
    <xdr:to>
      <xdr:col>20</xdr:col>
      <xdr:colOff>466725</xdr:colOff>
      <xdr:row>125</xdr:row>
      <xdr:rowOff>119063</xdr:rowOff>
    </xdr:to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A1986F76-886D-4278-847E-06977F11E683}"/>
            </a:ext>
          </a:extLst>
        </xdr:cNvPr>
        <xdr:cNvSpPr txBox="1"/>
      </xdr:nvSpPr>
      <xdr:spPr>
        <a:xfrm>
          <a:off x="7686675" y="23660100"/>
          <a:ext cx="8020050" cy="2714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i="1"/>
            <a:t>Tableur</a:t>
          </a:r>
          <a:r>
            <a:rPr lang="fr-FR" sz="1100" i="1" baseline="0"/>
            <a:t> de l'onglet </a:t>
          </a:r>
          <a:r>
            <a:rPr lang="fr-FR" sz="1100" i="1"/>
            <a:t>'CablesWeight' du</a:t>
          </a:r>
          <a:r>
            <a:rPr lang="fr-FR" sz="1100" i="1" baseline="0"/>
            <a:t> tableur APG_UMCalc.</a:t>
          </a:r>
          <a:endParaRPr lang="fr-FR" sz="1100" i="1"/>
        </a:p>
      </xdr:txBody>
    </xdr:sp>
    <xdr:clientData/>
  </xdr:twoCellAnchor>
  <xdr:twoCellAnchor>
    <xdr:from>
      <xdr:col>1</xdr:col>
      <xdr:colOff>19050</xdr:colOff>
      <xdr:row>128</xdr:row>
      <xdr:rowOff>23809</xdr:rowOff>
    </xdr:from>
    <xdr:to>
      <xdr:col>3</xdr:col>
      <xdr:colOff>38100</xdr:colOff>
      <xdr:row>136</xdr:row>
      <xdr:rowOff>7326</xdr:rowOff>
    </xdr:to>
    <xdr:sp macro="" textlink="">
      <xdr:nvSpPr>
        <xdr:cNvPr id="36" name="ZoneTexte 35">
          <a:extLst>
            <a:ext uri="{FF2B5EF4-FFF2-40B4-BE49-F238E27FC236}">
              <a16:creationId xmlns:a16="http://schemas.microsoft.com/office/drawing/2014/main" id="{0092905F-4E77-4A3C-8A9E-020CE14F159E}"/>
            </a:ext>
          </a:extLst>
        </xdr:cNvPr>
        <xdr:cNvSpPr txBox="1"/>
      </xdr:nvSpPr>
      <xdr:spPr>
        <a:xfrm>
          <a:off x="781050" y="24407809"/>
          <a:ext cx="1543050" cy="1507517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9. La</a:t>
          </a:r>
          <a:r>
            <a:rPr lang="fr-FR" sz="1100" baseline="0"/>
            <a:t> charge totale du cluster Line Array vue par le point moteur est finalement calculée et affichée en face de la cellule 'CLUS</a:t>
          </a:r>
          <a:r>
            <a:rPr lang="fr-FR" sz="1100"/>
            <a:t>TER WEIGHT[kg]' et peut</a:t>
          </a:r>
          <a:r>
            <a:rPr lang="fr-FR" sz="1100" baseline="0"/>
            <a:t> être utilisée.</a:t>
          </a:r>
          <a:endParaRPr lang="fr-FR" sz="1100"/>
        </a:p>
      </xdr:txBody>
    </xdr:sp>
    <xdr:clientData/>
  </xdr:twoCellAnchor>
  <xdr:twoCellAnchor>
    <xdr:from>
      <xdr:col>10</xdr:col>
      <xdr:colOff>19049</xdr:colOff>
      <xdr:row>129</xdr:row>
      <xdr:rowOff>9525</xdr:rowOff>
    </xdr:from>
    <xdr:to>
      <xdr:col>13</xdr:col>
      <xdr:colOff>495300</xdr:colOff>
      <xdr:row>134</xdr:row>
      <xdr:rowOff>0</xdr:rowOff>
    </xdr:to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0638AE12-9A9E-47DB-96B5-EABB4D0A2B90}"/>
            </a:ext>
          </a:extLst>
        </xdr:cNvPr>
        <xdr:cNvSpPr txBox="1"/>
      </xdr:nvSpPr>
      <xdr:spPr>
        <a:xfrm>
          <a:off x="7639049" y="24584025"/>
          <a:ext cx="2762251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Soyez-sûrs d'utiliser</a:t>
          </a:r>
          <a:r>
            <a:rPr lang="fr-FR" sz="1100" baseline="0"/>
            <a:t> un(des) palan(s) ou moteur(s) de levage capable(s) de supporter la charge totale du cluster Line Array multipliée par un facteur de sécurité de 2 mi</a:t>
          </a:r>
          <a:r>
            <a:rPr lang="fr-FR" sz="1100"/>
            <a:t>nimum.</a:t>
          </a:r>
        </a:p>
      </xdr:txBody>
    </xdr:sp>
    <xdr:clientData/>
  </xdr:twoCellAnchor>
  <xdr:twoCellAnchor>
    <xdr:from>
      <xdr:col>1</xdr:col>
      <xdr:colOff>19050</xdr:colOff>
      <xdr:row>138</xdr:row>
      <xdr:rowOff>23810</xdr:rowOff>
    </xdr:from>
    <xdr:to>
      <xdr:col>3</xdr:col>
      <xdr:colOff>38100</xdr:colOff>
      <xdr:row>146</xdr:row>
      <xdr:rowOff>36636</xdr:rowOff>
    </xdr:to>
    <xdr:sp macro="" textlink="">
      <xdr:nvSpPr>
        <xdr:cNvPr id="38" name="ZoneTexte 37">
          <a:extLst>
            <a:ext uri="{FF2B5EF4-FFF2-40B4-BE49-F238E27FC236}">
              <a16:creationId xmlns:a16="http://schemas.microsoft.com/office/drawing/2014/main" id="{DAF42B88-F272-420C-9DD6-718DFC4F886D}"/>
            </a:ext>
          </a:extLst>
        </xdr:cNvPr>
        <xdr:cNvSpPr txBox="1"/>
      </xdr:nvSpPr>
      <xdr:spPr>
        <a:xfrm>
          <a:off x="781050" y="26312810"/>
          <a:ext cx="1543050" cy="1536826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10. Vous</a:t>
          </a:r>
          <a:r>
            <a:rPr lang="fr-FR" sz="1100" baseline="0"/>
            <a:t> pouvez imprimer les pages "UMCalc" et "CablesWeight" pour avoir un aperçu des calculs et partager le document à des personnes tierces.</a:t>
          </a:r>
          <a:endParaRPr lang="fr-FR" sz="1100"/>
        </a:p>
      </xdr:txBody>
    </xdr:sp>
    <xdr:clientData/>
  </xdr:twoCellAnchor>
  <xdr:twoCellAnchor editAs="oneCell">
    <xdr:from>
      <xdr:col>4</xdr:col>
      <xdr:colOff>62346</xdr:colOff>
      <xdr:row>138</xdr:row>
      <xdr:rowOff>33770</xdr:rowOff>
    </xdr:from>
    <xdr:to>
      <xdr:col>15</xdr:col>
      <xdr:colOff>482674</xdr:colOff>
      <xdr:row>169</xdr:row>
      <xdr:rowOff>72700</xdr:rowOff>
    </xdr:to>
    <xdr:pic>
      <xdr:nvPicPr>
        <xdr:cNvPr id="39" name="Image 38">
          <a:extLst>
            <a:ext uri="{FF2B5EF4-FFF2-40B4-BE49-F238E27FC236}">
              <a16:creationId xmlns:a16="http://schemas.microsoft.com/office/drawing/2014/main" id="{93EE7DF5-B6E1-4859-B93E-CF490F1139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10346" y="26322770"/>
          <a:ext cx="8802328" cy="5944430"/>
        </a:xfrm>
        <a:prstGeom prst="rect">
          <a:avLst/>
        </a:prstGeom>
      </xdr:spPr>
    </xdr:pic>
    <xdr:clientData/>
  </xdr:twoCellAnchor>
  <xdr:twoCellAnchor editAs="oneCell">
    <xdr:from>
      <xdr:col>15</xdr:col>
      <xdr:colOff>582706</xdr:colOff>
      <xdr:row>138</xdr:row>
      <xdr:rowOff>100852</xdr:rowOff>
    </xdr:from>
    <xdr:to>
      <xdr:col>28</xdr:col>
      <xdr:colOff>755563</xdr:colOff>
      <xdr:row>164</xdr:row>
      <xdr:rowOff>53912</xdr:rowOff>
    </xdr:to>
    <xdr:pic>
      <xdr:nvPicPr>
        <xdr:cNvPr id="40" name="Image 39">
          <a:extLst>
            <a:ext uri="{FF2B5EF4-FFF2-40B4-BE49-F238E27FC236}">
              <a16:creationId xmlns:a16="http://schemas.microsoft.com/office/drawing/2014/main" id="{CD6D7320-0D9E-47DE-91B8-05BEE87F60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012706" y="26389852"/>
          <a:ext cx="10078857" cy="4906060"/>
        </a:xfrm>
        <a:prstGeom prst="rect">
          <a:avLst/>
        </a:prstGeom>
      </xdr:spPr>
    </xdr:pic>
    <xdr:clientData/>
  </xdr:twoCellAnchor>
  <xdr:twoCellAnchor editAs="oneCell">
    <xdr:from>
      <xdr:col>3</xdr:col>
      <xdr:colOff>687916</xdr:colOff>
      <xdr:row>53</xdr:row>
      <xdr:rowOff>21166</xdr:rowOff>
    </xdr:from>
    <xdr:to>
      <xdr:col>9</xdr:col>
      <xdr:colOff>564712</xdr:colOff>
      <xdr:row>57</xdr:row>
      <xdr:rowOff>2220</xdr:rowOff>
    </xdr:to>
    <xdr:pic>
      <xdr:nvPicPr>
        <xdr:cNvPr id="41" name="Image 40">
          <a:extLst>
            <a:ext uri="{FF2B5EF4-FFF2-40B4-BE49-F238E27FC236}">
              <a16:creationId xmlns:a16="http://schemas.microsoft.com/office/drawing/2014/main" id="{545A3F82-61A7-4391-9712-BFB78A03DDD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2973916" y="10117666"/>
          <a:ext cx="4448796" cy="74305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23812</xdr:rowOff>
    </xdr:from>
    <xdr:to>
      <xdr:col>3</xdr:col>
      <xdr:colOff>19050</xdr:colOff>
      <xdr:row>4</xdr:row>
      <xdr:rowOff>161925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576405C6-70F8-CF27-070D-031DE5BA7F27}"/>
            </a:ext>
          </a:extLst>
        </xdr:cNvPr>
        <xdr:cNvSpPr txBox="1"/>
      </xdr:nvSpPr>
      <xdr:spPr>
        <a:xfrm>
          <a:off x="762000" y="595312"/>
          <a:ext cx="1543050" cy="32861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1.</a:t>
          </a:r>
          <a:r>
            <a:rPr lang="fr-FR" sz="1100" baseline="0"/>
            <a:t> </a:t>
          </a:r>
          <a:r>
            <a:rPr lang="fr-FR" sz="1100"/>
            <a:t>Select the</a:t>
          </a:r>
          <a:r>
            <a:rPr lang="fr-FR" sz="1100" baseline="0"/>
            <a:t> bumper.</a:t>
          </a:r>
          <a:endParaRPr lang="fr-FR" sz="1100"/>
        </a:p>
      </xdr:txBody>
    </xdr:sp>
    <xdr:clientData/>
  </xdr:twoCellAnchor>
  <xdr:twoCellAnchor>
    <xdr:from>
      <xdr:col>1</xdr:col>
      <xdr:colOff>28575</xdr:colOff>
      <xdr:row>8</xdr:row>
      <xdr:rowOff>4762</xdr:rowOff>
    </xdr:from>
    <xdr:to>
      <xdr:col>3</xdr:col>
      <xdr:colOff>47625</xdr:colOff>
      <xdr:row>14</xdr:row>
      <xdr:rowOff>152400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085C40F8-B64A-4F7B-8025-883B543D7D90}"/>
            </a:ext>
          </a:extLst>
        </xdr:cNvPr>
        <xdr:cNvSpPr txBox="1"/>
      </xdr:nvSpPr>
      <xdr:spPr>
        <a:xfrm>
          <a:off x="790575" y="1528762"/>
          <a:ext cx="1543050" cy="1290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l"/>
          <a:r>
            <a:rPr lang="fr-FR" sz="1100"/>
            <a:t>2.</a:t>
          </a:r>
          <a:r>
            <a:rPr lang="fr-FR" sz="1100" baseline="0"/>
            <a:t> </a:t>
          </a:r>
          <a:r>
            <a:rPr lang="fr-FR" sz="1100"/>
            <a:t>Type the</a:t>
          </a:r>
          <a:r>
            <a:rPr lang="fr-FR" sz="1100" baseline="0"/>
            <a:t> vertical angle of the cluster, or Copy/Paste the value from EASE Focus.</a:t>
          </a:r>
          <a:endParaRPr lang="fr-FR" sz="1100"/>
        </a:p>
      </xdr:txBody>
    </xdr:sp>
    <xdr:clientData/>
  </xdr:twoCellAnchor>
  <xdr:twoCellAnchor editAs="oneCell">
    <xdr:from>
      <xdr:col>4</xdr:col>
      <xdr:colOff>28575</xdr:colOff>
      <xdr:row>8</xdr:row>
      <xdr:rowOff>42862</xdr:rowOff>
    </xdr:from>
    <xdr:to>
      <xdr:col>7</xdr:col>
      <xdr:colOff>505211</xdr:colOff>
      <xdr:row>18</xdr:row>
      <xdr:rowOff>62181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2B10E1F-D8E4-B611-16F0-1C1B9E6ED6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76575" y="1566862"/>
          <a:ext cx="2762636" cy="1924319"/>
        </a:xfrm>
        <a:prstGeom prst="rect">
          <a:avLst/>
        </a:prstGeom>
      </xdr:spPr>
    </xdr:pic>
    <xdr:clientData/>
  </xdr:twoCellAnchor>
  <xdr:twoCellAnchor>
    <xdr:from>
      <xdr:col>8</xdr:col>
      <xdr:colOff>38100</xdr:colOff>
      <xdr:row>12</xdr:row>
      <xdr:rowOff>66675</xdr:rowOff>
    </xdr:from>
    <xdr:to>
      <xdr:col>10</xdr:col>
      <xdr:colOff>171450</xdr:colOff>
      <xdr:row>13</xdr:row>
      <xdr:rowOff>152400</xdr:rowOff>
    </xdr:to>
    <xdr:sp macro="" textlink="">
      <xdr:nvSpPr>
        <xdr:cNvPr id="9" name="Flèche : droite 8">
          <a:extLst>
            <a:ext uri="{FF2B5EF4-FFF2-40B4-BE49-F238E27FC236}">
              <a16:creationId xmlns:a16="http://schemas.microsoft.com/office/drawing/2014/main" id="{4F25B9ED-5A48-351F-16B9-487F1B3291D7}"/>
            </a:ext>
          </a:extLst>
        </xdr:cNvPr>
        <xdr:cNvSpPr/>
      </xdr:nvSpPr>
      <xdr:spPr>
        <a:xfrm>
          <a:off x="6134100" y="2352675"/>
          <a:ext cx="1657350" cy="276225"/>
        </a:xfrm>
        <a:prstGeom prst="rightArrow">
          <a:avLst/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57149</xdr:colOff>
      <xdr:row>18</xdr:row>
      <xdr:rowOff>100012</xdr:rowOff>
    </xdr:from>
    <xdr:to>
      <xdr:col>7</xdr:col>
      <xdr:colOff>561974</xdr:colOff>
      <xdr:row>19</xdr:row>
      <xdr:rowOff>180975</xdr:rowOff>
    </xdr:to>
    <xdr:sp macro="" textlink="">
      <xdr:nvSpPr>
        <xdr:cNvPr id="10" name="ZoneTexte 9">
          <a:extLst>
            <a:ext uri="{FF2B5EF4-FFF2-40B4-BE49-F238E27FC236}">
              <a16:creationId xmlns:a16="http://schemas.microsoft.com/office/drawing/2014/main" id="{4FC428D1-5494-4A2D-A88A-52ABAB5DA5B8}"/>
            </a:ext>
          </a:extLst>
        </xdr:cNvPr>
        <xdr:cNvSpPr txBox="1"/>
      </xdr:nvSpPr>
      <xdr:spPr>
        <a:xfrm>
          <a:off x="3105149" y="3529012"/>
          <a:ext cx="2790825" cy="2714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i="1"/>
            <a:t>EASE Focus Vertical Angle [°]</a:t>
          </a:r>
        </a:p>
      </xdr:txBody>
    </xdr:sp>
    <xdr:clientData/>
  </xdr:twoCellAnchor>
  <xdr:twoCellAnchor>
    <xdr:from>
      <xdr:col>1</xdr:col>
      <xdr:colOff>19050</xdr:colOff>
      <xdr:row>23</xdr:row>
      <xdr:rowOff>14287</xdr:rowOff>
    </xdr:from>
    <xdr:to>
      <xdr:col>3</xdr:col>
      <xdr:colOff>38100</xdr:colOff>
      <xdr:row>29</xdr:row>
      <xdr:rowOff>161925</xdr:rowOff>
    </xdr:to>
    <xdr:sp macro="" textlink="">
      <xdr:nvSpPr>
        <xdr:cNvPr id="11" name="ZoneTexte 10">
          <a:extLst>
            <a:ext uri="{FF2B5EF4-FFF2-40B4-BE49-F238E27FC236}">
              <a16:creationId xmlns:a16="http://schemas.microsoft.com/office/drawing/2014/main" id="{4BAF0CBE-ABB8-40F3-ADB4-5E4AA1D9802C}"/>
            </a:ext>
          </a:extLst>
        </xdr:cNvPr>
        <xdr:cNvSpPr txBox="1"/>
      </xdr:nvSpPr>
      <xdr:spPr>
        <a:xfrm>
          <a:off x="781050" y="4395787"/>
          <a:ext cx="1543050" cy="1290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3. Add cabinets of UM210 and corresponding</a:t>
          </a:r>
          <a:r>
            <a:rPr lang="fr-FR" sz="1100" baseline="0"/>
            <a:t> Angles by selecting a cell and a value in the Lists.</a:t>
          </a:r>
          <a:endParaRPr lang="fr-FR" sz="1100"/>
        </a:p>
      </xdr:txBody>
    </xdr:sp>
    <xdr:clientData/>
  </xdr:twoCellAnchor>
  <xdr:twoCellAnchor>
    <xdr:from>
      <xdr:col>8</xdr:col>
      <xdr:colOff>38100</xdr:colOff>
      <xdr:row>14</xdr:row>
      <xdr:rowOff>23812</xdr:rowOff>
    </xdr:from>
    <xdr:to>
      <xdr:col>10</xdr:col>
      <xdr:colOff>57150</xdr:colOff>
      <xdr:row>17</xdr:row>
      <xdr:rowOff>76200</xdr:rowOff>
    </xdr:to>
    <xdr:sp macro="" textlink="">
      <xdr:nvSpPr>
        <xdr:cNvPr id="13" name="ZoneTexte 12">
          <a:extLst>
            <a:ext uri="{FF2B5EF4-FFF2-40B4-BE49-F238E27FC236}">
              <a16:creationId xmlns:a16="http://schemas.microsoft.com/office/drawing/2014/main" id="{ACCFBE2D-749B-413B-8E0E-370B768209F1}"/>
            </a:ext>
          </a:extLst>
        </xdr:cNvPr>
        <xdr:cNvSpPr txBox="1"/>
      </xdr:nvSpPr>
      <xdr:spPr>
        <a:xfrm>
          <a:off x="6134100" y="2690812"/>
          <a:ext cx="1543050" cy="62388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baseline="0"/>
            <a:t>Copy/Paste the value from EASE Focus to APG UMCalc.</a:t>
          </a:r>
          <a:endParaRPr lang="fr-FR" sz="1100"/>
        </a:p>
      </xdr:txBody>
    </xdr:sp>
    <xdr:clientData/>
  </xdr:twoCellAnchor>
  <xdr:twoCellAnchor>
    <xdr:from>
      <xdr:col>1</xdr:col>
      <xdr:colOff>19050</xdr:colOff>
      <xdr:row>42</xdr:row>
      <xdr:rowOff>33337</xdr:rowOff>
    </xdr:from>
    <xdr:to>
      <xdr:col>3</xdr:col>
      <xdr:colOff>38100</xdr:colOff>
      <xdr:row>48</xdr:row>
      <xdr:rowOff>180975</xdr:rowOff>
    </xdr:to>
    <xdr:sp macro="" textlink="">
      <xdr:nvSpPr>
        <xdr:cNvPr id="15" name="ZoneTexte 14">
          <a:extLst>
            <a:ext uri="{FF2B5EF4-FFF2-40B4-BE49-F238E27FC236}">
              <a16:creationId xmlns:a16="http://schemas.microsoft.com/office/drawing/2014/main" id="{A7F9AA6B-9697-4542-AAE1-A1C41637C3CC}"/>
            </a:ext>
          </a:extLst>
        </xdr:cNvPr>
        <xdr:cNvSpPr txBox="1"/>
      </xdr:nvSpPr>
      <xdr:spPr>
        <a:xfrm>
          <a:off x="781050" y="8034337"/>
          <a:ext cx="1543050" cy="129063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4. Select the suspension</a:t>
          </a:r>
          <a:r>
            <a:rPr lang="fr-FR" sz="1100" baseline="0"/>
            <a:t> Mode of the cluster (Tension or Compression).</a:t>
          </a:r>
          <a:endParaRPr lang="fr-FR" sz="1100"/>
        </a:p>
      </xdr:txBody>
    </xdr:sp>
    <xdr:clientData/>
  </xdr:twoCellAnchor>
  <xdr:twoCellAnchor>
    <xdr:from>
      <xdr:col>1</xdr:col>
      <xdr:colOff>0</xdr:colOff>
      <xdr:row>53</xdr:row>
      <xdr:rowOff>23811</xdr:rowOff>
    </xdr:from>
    <xdr:to>
      <xdr:col>3</xdr:col>
      <xdr:colOff>19050</xdr:colOff>
      <xdr:row>67</xdr:row>
      <xdr:rowOff>74083</xdr:rowOff>
    </xdr:to>
    <xdr:sp macro="" textlink="">
      <xdr:nvSpPr>
        <xdr:cNvPr id="16" name="ZoneTexte 15">
          <a:extLst>
            <a:ext uri="{FF2B5EF4-FFF2-40B4-BE49-F238E27FC236}">
              <a16:creationId xmlns:a16="http://schemas.microsoft.com/office/drawing/2014/main" id="{1681D140-4CFE-46C3-8430-2BE8E97E05B7}"/>
            </a:ext>
          </a:extLst>
        </xdr:cNvPr>
        <xdr:cNvSpPr txBox="1"/>
      </xdr:nvSpPr>
      <xdr:spPr>
        <a:xfrm>
          <a:off x="762000" y="10120311"/>
          <a:ext cx="1543050" cy="2717272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4. [Only for Compression Mode]</a:t>
          </a:r>
        </a:p>
        <a:p>
          <a:endParaRPr lang="fr-FR" sz="1100"/>
        </a:p>
        <a:p>
          <a:r>
            <a:rPr lang="fr-FR" sz="1100"/>
            <a:t>Select</a:t>
          </a:r>
          <a:r>
            <a:rPr lang="fr-FR" sz="1100" baseline="0"/>
            <a:t> the compression lever hoist Force.</a:t>
          </a:r>
        </a:p>
        <a:p>
          <a:r>
            <a:rPr lang="fr-FR" sz="1100" b="1" baseline="0"/>
            <a:t>250daN: Recommended for most applications.</a:t>
          </a:r>
        </a:p>
        <a:p>
          <a:r>
            <a:rPr lang="fr-FR" sz="1100" baseline="0"/>
            <a:t>375dAN: Only if the 250daN value is not sufficient.</a:t>
          </a:r>
        </a:p>
        <a:p>
          <a:r>
            <a:rPr lang="fr-FR" sz="1100" baseline="0"/>
            <a:t>500daN: Only if the 375daN value is not sufficient.</a:t>
          </a:r>
          <a:endParaRPr lang="fr-FR" sz="1100"/>
        </a:p>
      </xdr:txBody>
    </xdr:sp>
    <xdr:clientData/>
  </xdr:twoCellAnchor>
  <xdr:twoCellAnchor>
    <xdr:from>
      <xdr:col>9</xdr:col>
      <xdr:colOff>28574</xdr:colOff>
      <xdr:row>25</xdr:row>
      <xdr:rowOff>33337</xdr:rowOff>
    </xdr:from>
    <xdr:to>
      <xdr:col>11</xdr:col>
      <xdr:colOff>161925</xdr:colOff>
      <xdr:row>32</xdr:row>
      <xdr:rowOff>66675</xdr:rowOff>
    </xdr:to>
    <xdr:sp macro="" textlink="">
      <xdr:nvSpPr>
        <xdr:cNvPr id="18" name="ZoneTexte 17">
          <a:extLst>
            <a:ext uri="{FF2B5EF4-FFF2-40B4-BE49-F238E27FC236}">
              <a16:creationId xmlns:a16="http://schemas.microsoft.com/office/drawing/2014/main" id="{143304EF-E50B-4B13-8644-1C60FC0D1B1E}"/>
            </a:ext>
          </a:extLst>
        </xdr:cNvPr>
        <xdr:cNvSpPr txBox="1"/>
      </xdr:nvSpPr>
      <xdr:spPr>
        <a:xfrm>
          <a:off x="6886574" y="4795837"/>
          <a:ext cx="1657351" cy="1366838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/!\ 8x UM210 maximum on UMRAIL.</a:t>
          </a:r>
        </a:p>
        <a:p>
          <a:r>
            <a:rPr lang="fr-FR" sz="1100">
              <a:solidFill>
                <a:schemeClr val="tx1"/>
              </a:solidFill>
            </a:rPr>
            <a:t>WLL = 400kg</a:t>
          </a:r>
        </a:p>
        <a:p>
          <a:endParaRPr lang="fr-FR" sz="1100"/>
        </a:p>
        <a:p>
          <a:r>
            <a:rPr lang="fr-FR" sz="1100" baseline="0"/>
            <a:t>/!\ 18x UM210 maximum on UMTRUSS</a:t>
          </a:r>
        </a:p>
        <a:p>
          <a:r>
            <a:rPr lang="fr-FR" sz="1100" baseline="0"/>
            <a:t>WLL = 800kg</a:t>
          </a:r>
          <a:endParaRPr lang="fr-FR" sz="1100"/>
        </a:p>
      </xdr:txBody>
    </xdr:sp>
    <xdr:clientData/>
  </xdr:twoCellAnchor>
  <xdr:twoCellAnchor editAs="oneCell">
    <xdr:from>
      <xdr:col>4</xdr:col>
      <xdr:colOff>666750</xdr:colOff>
      <xdr:row>2</xdr:row>
      <xdr:rowOff>0</xdr:rowOff>
    </xdr:from>
    <xdr:to>
      <xdr:col>6</xdr:col>
      <xdr:colOff>133488</xdr:colOff>
      <xdr:row>6</xdr:row>
      <xdr:rowOff>47738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8026A969-B01F-4221-36D2-DC65ABDED55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3714750" y="381000"/>
          <a:ext cx="990738" cy="809738"/>
        </a:xfrm>
        <a:prstGeom prst="rect">
          <a:avLst/>
        </a:prstGeom>
      </xdr:spPr>
    </xdr:pic>
    <xdr:clientData/>
  </xdr:twoCellAnchor>
  <xdr:twoCellAnchor editAs="oneCell">
    <xdr:from>
      <xdr:col>11</xdr:col>
      <xdr:colOff>9525</xdr:colOff>
      <xdr:row>11</xdr:row>
      <xdr:rowOff>85725</xdr:rowOff>
    </xdr:from>
    <xdr:to>
      <xdr:col>11</xdr:col>
      <xdr:colOff>600157</xdr:colOff>
      <xdr:row>13</xdr:row>
      <xdr:rowOff>114357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C8F52B5C-5772-21E4-D27A-31F496D921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8391525" y="2181225"/>
          <a:ext cx="590632" cy="409632"/>
        </a:xfrm>
        <a:prstGeom prst="rect">
          <a:avLst/>
        </a:prstGeom>
      </xdr:spPr>
    </xdr:pic>
    <xdr:clientData/>
  </xdr:twoCellAnchor>
  <xdr:twoCellAnchor editAs="oneCell">
    <xdr:from>
      <xdr:col>4</xdr:col>
      <xdr:colOff>95250</xdr:colOff>
      <xdr:row>22</xdr:row>
      <xdr:rowOff>28575</xdr:rowOff>
    </xdr:from>
    <xdr:to>
      <xdr:col>5</xdr:col>
      <xdr:colOff>733620</xdr:colOff>
      <xdr:row>37</xdr:row>
      <xdr:rowOff>133763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C90DDA6B-8634-6C2F-F864-ED9C82F10D0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3143250" y="4219575"/>
          <a:ext cx="1400370" cy="2962688"/>
        </a:xfrm>
        <a:prstGeom prst="rect">
          <a:avLst/>
        </a:prstGeom>
      </xdr:spPr>
    </xdr:pic>
    <xdr:clientData/>
  </xdr:twoCellAnchor>
  <xdr:twoCellAnchor editAs="oneCell">
    <xdr:from>
      <xdr:col>6</xdr:col>
      <xdr:colOff>381000</xdr:colOff>
      <xdr:row>22</xdr:row>
      <xdr:rowOff>57151</xdr:rowOff>
    </xdr:from>
    <xdr:to>
      <xdr:col>8</xdr:col>
      <xdr:colOff>276225</xdr:colOff>
      <xdr:row>37</xdr:row>
      <xdr:rowOff>145213</xdr:rowOff>
    </xdr:to>
    <xdr:pic>
      <xdr:nvPicPr>
        <xdr:cNvPr id="20" name="Image 19">
          <a:extLst>
            <a:ext uri="{FF2B5EF4-FFF2-40B4-BE49-F238E27FC236}">
              <a16:creationId xmlns:a16="http://schemas.microsoft.com/office/drawing/2014/main" id="{31E2B83C-53F1-A42D-1380-E6657A05B38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4953000" y="4248151"/>
          <a:ext cx="1419225" cy="2945562"/>
        </a:xfrm>
        <a:prstGeom prst="rect">
          <a:avLst/>
        </a:prstGeom>
      </xdr:spPr>
    </xdr:pic>
    <xdr:clientData/>
  </xdr:twoCellAnchor>
  <xdr:twoCellAnchor editAs="oneCell">
    <xdr:from>
      <xdr:col>3</xdr:col>
      <xdr:colOff>638175</xdr:colOff>
      <xdr:row>42</xdr:row>
      <xdr:rowOff>114300</xdr:rowOff>
    </xdr:from>
    <xdr:to>
      <xdr:col>9</xdr:col>
      <xdr:colOff>543550</xdr:colOff>
      <xdr:row>47</xdr:row>
      <xdr:rowOff>95380</xdr:rowOff>
    </xdr:to>
    <xdr:pic>
      <xdr:nvPicPr>
        <xdr:cNvPr id="21" name="Image 20">
          <a:extLst>
            <a:ext uri="{FF2B5EF4-FFF2-40B4-BE49-F238E27FC236}">
              <a16:creationId xmlns:a16="http://schemas.microsoft.com/office/drawing/2014/main" id="{3FAFD313-DD52-EFBF-CB09-A1D55AE4DF3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/>
        <a:stretch>
          <a:fillRect/>
        </a:stretch>
      </xdr:blipFill>
      <xdr:spPr>
        <a:xfrm>
          <a:off x="2924175" y="8115300"/>
          <a:ext cx="4477375" cy="933580"/>
        </a:xfrm>
        <a:prstGeom prst="rect">
          <a:avLst/>
        </a:prstGeom>
      </xdr:spPr>
    </xdr:pic>
    <xdr:clientData/>
  </xdr:twoCellAnchor>
  <xdr:twoCellAnchor editAs="oneCell">
    <xdr:from>
      <xdr:col>10</xdr:col>
      <xdr:colOff>38100</xdr:colOff>
      <xdr:row>39</xdr:row>
      <xdr:rowOff>47626</xdr:rowOff>
    </xdr:from>
    <xdr:to>
      <xdr:col>14</xdr:col>
      <xdr:colOff>753676</xdr:colOff>
      <xdr:row>50</xdr:row>
      <xdr:rowOff>125342</xdr:rowOff>
    </xdr:to>
    <xdr:pic>
      <xdr:nvPicPr>
        <xdr:cNvPr id="22" name="Image 21">
          <a:extLst>
            <a:ext uri="{FF2B5EF4-FFF2-40B4-BE49-F238E27FC236}">
              <a16:creationId xmlns:a16="http://schemas.microsoft.com/office/drawing/2014/main" id="{2C3E3B91-7833-8811-7E67-2EBC3D70CC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7658100" y="7477126"/>
          <a:ext cx="3763576" cy="2173216"/>
        </a:xfrm>
        <a:prstGeom prst="rect">
          <a:avLst/>
        </a:prstGeom>
      </xdr:spPr>
    </xdr:pic>
    <xdr:clientData/>
  </xdr:twoCellAnchor>
  <xdr:twoCellAnchor editAs="oneCell">
    <xdr:from>
      <xdr:col>4</xdr:col>
      <xdr:colOff>28575</xdr:colOff>
      <xdr:row>70</xdr:row>
      <xdr:rowOff>38100</xdr:rowOff>
    </xdr:from>
    <xdr:to>
      <xdr:col>9</xdr:col>
      <xdr:colOff>419686</xdr:colOff>
      <xdr:row>72</xdr:row>
      <xdr:rowOff>28575</xdr:rowOff>
    </xdr:to>
    <xdr:pic>
      <xdr:nvPicPr>
        <xdr:cNvPr id="24" name="Image 23">
          <a:extLst>
            <a:ext uri="{FF2B5EF4-FFF2-40B4-BE49-F238E27FC236}">
              <a16:creationId xmlns:a16="http://schemas.microsoft.com/office/drawing/2014/main" id="{25FDE98B-7C7C-8DBA-F733-7D6BB9308ED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b="69052"/>
        <a:stretch>
          <a:fillRect/>
        </a:stretch>
      </xdr:blipFill>
      <xdr:spPr>
        <a:xfrm>
          <a:off x="3076575" y="13373100"/>
          <a:ext cx="4201111" cy="371475"/>
        </a:xfrm>
        <a:prstGeom prst="rect">
          <a:avLst/>
        </a:prstGeom>
      </xdr:spPr>
    </xdr:pic>
    <xdr:clientData/>
  </xdr:twoCellAnchor>
  <xdr:twoCellAnchor>
    <xdr:from>
      <xdr:col>0</xdr:col>
      <xdr:colOff>715495</xdr:colOff>
      <xdr:row>70</xdr:row>
      <xdr:rowOff>35017</xdr:rowOff>
    </xdr:from>
    <xdr:to>
      <xdr:col>2</xdr:col>
      <xdr:colOff>734545</xdr:colOff>
      <xdr:row>76</xdr:row>
      <xdr:rowOff>67235</xdr:rowOff>
    </xdr:to>
    <xdr:sp macro="" textlink="">
      <xdr:nvSpPr>
        <xdr:cNvPr id="25" name="ZoneTexte 24">
          <a:extLst>
            <a:ext uri="{FF2B5EF4-FFF2-40B4-BE49-F238E27FC236}">
              <a16:creationId xmlns:a16="http://schemas.microsoft.com/office/drawing/2014/main" id="{633E0879-96C7-4960-93D5-78B307829875}"/>
            </a:ext>
          </a:extLst>
        </xdr:cNvPr>
        <xdr:cNvSpPr txBox="1"/>
      </xdr:nvSpPr>
      <xdr:spPr>
        <a:xfrm>
          <a:off x="715495" y="13370017"/>
          <a:ext cx="1543050" cy="1175218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5.</a:t>
          </a:r>
          <a:r>
            <a:rPr lang="fr-FR" sz="1100" baseline="0"/>
            <a:t> The tab displays then the status of 'Compression Check'.</a:t>
          </a:r>
        </a:p>
        <a:p>
          <a:r>
            <a:rPr lang="fr-FR" sz="1100" baseline="0"/>
            <a:t>To be valid, this value should be 'OK' and green.</a:t>
          </a:r>
        </a:p>
      </xdr:txBody>
    </xdr:sp>
    <xdr:clientData/>
  </xdr:twoCellAnchor>
  <xdr:twoCellAnchor editAs="oneCell">
    <xdr:from>
      <xdr:col>4</xdr:col>
      <xdr:colOff>0</xdr:colOff>
      <xdr:row>94</xdr:row>
      <xdr:rowOff>28575</xdr:rowOff>
    </xdr:from>
    <xdr:to>
      <xdr:col>9</xdr:col>
      <xdr:colOff>391111</xdr:colOff>
      <xdr:row>96</xdr:row>
      <xdr:rowOff>28743</xdr:rowOff>
    </xdr:to>
    <xdr:pic>
      <xdr:nvPicPr>
        <xdr:cNvPr id="26" name="Image 25">
          <a:extLst>
            <a:ext uri="{FF2B5EF4-FFF2-40B4-BE49-F238E27FC236}">
              <a16:creationId xmlns:a16="http://schemas.microsoft.com/office/drawing/2014/main" id="{3BAE8A84-2360-4F7C-9542-A6209703576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68245"/>
        <a:stretch>
          <a:fillRect/>
        </a:stretch>
      </xdr:blipFill>
      <xdr:spPr>
        <a:xfrm>
          <a:off x="3048000" y="17935575"/>
          <a:ext cx="4201111" cy="381168"/>
        </a:xfrm>
        <a:prstGeom prst="rect">
          <a:avLst/>
        </a:prstGeom>
      </xdr:spPr>
    </xdr:pic>
    <xdr:clientData/>
  </xdr:twoCellAnchor>
  <xdr:twoCellAnchor editAs="oneCell">
    <xdr:from>
      <xdr:col>3</xdr:col>
      <xdr:colOff>723900</xdr:colOff>
      <xdr:row>86</xdr:row>
      <xdr:rowOff>171449</xdr:rowOff>
    </xdr:from>
    <xdr:to>
      <xdr:col>9</xdr:col>
      <xdr:colOff>353011</xdr:colOff>
      <xdr:row>89</xdr:row>
      <xdr:rowOff>161924</xdr:rowOff>
    </xdr:to>
    <xdr:pic>
      <xdr:nvPicPr>
        <xdr:cNvPr id="27" name="Image 26">
          <a:extLst>
            <a:ext uri="{FF2B5EF4-FFF2-40B4-BE49-F238E27FC236}">
              <a16:creationId xmlns:a16="http://schemas.microsoft.com/office/drawing/2014/main" id="{D7C1E8B6-3D4E-4BC2-8250-FF67EBE9DF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8"/>
        <a:srcRect t="26186" b="26995"/>
        <a:stretch>
          <a:fillRect/>
        </a:stretch>
      </xdr:blipFill>
      <xdr:spPr>
        <a:xfrm>
          <a:off x="3009900" y="16554449"/>
          <a:ext cx="4201111" cy="561975"/>
        </a:xfrm>
        <a:prstGeom prst="rect">
          <a:avLst/>
        </a:prstGeom>
      </xdr:spPr>
    </xdr:pic>
    <xdr:clientData/>
  </xdr:twoCellAnchor>
  <xdr:twoCellAnchor>
    <xdr:from>
      <xdr:col>7</xdr:col>
      <xdr:colOff>466725</xdr:colOff>
      <xdr:row>72</xdr:row>
      <xdr:rowOff>119061</xdr:rowOff>
    </xdr:from>
    <xdr:to>
      <xdr:col>9</xdr:col>
      <xdr:colOff>485775</xdr:colOff>
      <xdr:row>82</xdr:row>
      <xdr:rowOff>66675</xdr:rowOff>
    </xdr:to>
    <xdr:sp macro="" textlink="">
      <xdr:nvSpPr>
        <xdr:cNvPr id="28" name="ZoneTexte 27">
          <a:extLst>
            <a:ext uri="{FF2B5EF4-FFF2-40B4-BE49-F238E27FC236}">
              <a16:creationId xmlns:a16="http://schemas.microsoft.com/office/drawing/2014/main" id="{9A956CFD-F5F0-4BD3-9BFF-5E6E9AD2AF00}"/>
            </a:ext>
          </a:extLst>
        </xdr:cNvPr>
        <xdr:cNvSpPr txBox="1"/>
      </xdr:nvSpPr>
      <xdr:spPr>
        <a:xfrm>
          <a:off x="5800725" y="13835061"/>
          <a:ext cx="1543050" cy="185261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 baseline="0"/>
            <a:t>[OK]: The Lever Hoist Force is sufficient to obtain the desired angles.</a:t>
          </a:r>
        </a:p>
        <a:p>
          <a:endParaRPr lang="fr-FR" sz="1100" baseline="0"/>
        </a:p>
        <a:p>
          <a:r>
            <a:rPr lang="fr-FR" sz="1100" baseline="0"/>
            <a:t>[NOK]: The Lever Hoist Force is not sufficient to obtain the desired angles or the Lever Hoist Force is excessive.</a:t>
          </a:r>
          <a:endParaRPr lang="fr-FR" sz="1100"/>
        </a:p>
      </xdr:txBody>
    </xdr:sp>
    <xdr:clientData/>
  </xdr:twoCellAnchor>
  <xdr:twoCellAnchor>
    <xdr:from>
      <xdr:col>1</xdr:col>
      <xdr:colOff>38100</xdr:colOff>
      <xdr:row>87</xdr:row>
      <xdr:rowOff>33336</xdr:rowOff>
    </xdr:from>
    <xdr:to>
      <xdr:col>3</xdr:col>
      <xdr:colOff>57150</xdr:colOff>
      <xdr:row>89</xdr:row>
      <xdr:rowOff>152400</xdr:rowOff>
    </xdr:to>
    <xdr:sp macro="" textlink="">
      <xdr:nvSpPr>
        <xdr:cNvPr id="29" name="ZoneTexte 28">
          <a:extLst>
            <a:ext uri="{FF2B5EF4-FFF2-40B4-BE49-F238E27FC236}">
              <a16:creationId xmlns:a16="http://schemas.microsoft.com/office/drawing/2014/main" id="{4DE46D65-7DFC-4048-A51E-927F65D0111C}"/>
            </a:ext>
          </a:extLst>
        </xdr:cNvPr>
        <xdr:cNvSpPr txBox="1"/>
      </xdr:nvSpPr>
      <xdr:spPr>
        <a:xfrm>
          <a:off x="800100" y="16606836"/>
          <a:ext cx="1543050" cy="500064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6.</a:t>
          </a:r>
          <a:r>
            <a:rPr lang="fr-FR" sz="1100" baseline="0"/>
            <a:t> The tab displays the 'Global Safety Factor'.</a:t>
          </a:r>
          <a:endParaRPr lang="fr-FR" sz="1100"/>
        </a:p>
      </xdr:txBody>
    </xdr:sp>
    <xdr:clientData/>
  </xdr:twoCellAnchor>
  <xdr:twoCellAnchor>
    <xdr:from>
      <xdr:col>10</xdr:col>
      <xdr:colOff>143932</xdr:colOff>
      <xdr:row>56</xdr:row>
      <xdr:rowOff>157161</xdr:rowOff>
    </xdr:from>
    <xdr:to>
      <xdr:col>13</xdr:col>
      <xdr:colOff>505883</xdr:colOff>
      <xdr:row>76</xdr:row>
      <xdr:rowOff>42333</xdr:rowOff>
    </xdr:to>
    <xdr:sp macro="" textlink="">
      <xdr:nvSpPr>
        <xdr:cNvPr id="30" name="ZoneTexte 29">
          <a:extLst>
            <a:ext uri="{FF2B5EF4-FFF2-40B4-BE49-F238E27FC236}">
              <a16:creationId xmlns:a16="http://schemas.microsoft.com/office/drawing/2014/main" id="{B0F7A429-73DA-441B-8254-1514875E3C11}"/>
            </a:ext>
          </a:extLst>
        </xdr:cNvPr>
        <xdr:cNvSpPr txBox="1"/>
      </xdr:nvSpPr>
      <xdr:spPr>
        <a:xfrm>
          <a:off x="7763932" y="10825161"/>
          <a:ext cx="2647951" cy="3695172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Use only 250daN or 500daN</a:t>
          </a:r>
          <a:r>
            <a:rPr lang="fr-FR" sz="1100" baseline="0"/>
            <a:t> Lever Hoists for the compression hanging mode.</a:t>
          </a:r>
          <a:br>
            <a:rPr lang="fr-FR" sz="1100" baseline="0"/>
          </a:br>
          <a:br>
            <a:rPr lang="fr-FR" sz="1100" baseline="0"/>
          </a:b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/!\ </a:t>
          </a:r>
          <a:r>
            <a:rPr lang="fr-FR" sz="1100" baseline="0"/>
            <a:t>Under 250daN, the force applied by the Lever Hoist could be unsufficient to obtain the correct angulation between cabinets.</a:t>
          </a:r>
        </a:p>
        <a:p>
          <a:endParaRPr lang="fr-FR" sz="1100" baseline="0"/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/!\ </a:t>
          </a:r>
          <a:r>
            <a:rPr lang="fr-FR" sz="1100" baseline="0"/>
            <a:t>Over 500daN (for example with a 1000daN Lever Hoist), the applied force could be excessive and may damage the mechanical parts of the loudspeakers and conducts to a rupture of the line array cluster!</a:t>
          </a:r>
        </a:p>
        <a:p>
          <a:endParaRPr lang="fr-FR" sz="1100" baseline="0"/>
        </a:p>
        <a:p>
          <a:r>
            <a:rPr lang="fr-FR" sz="1100" baseline="0"/>
            <a:t>/!\ The '375 daN' Lever Hoist Force value is obtained by using a 500daN Lever Hoist but not at its full capacity of compression. A dynamometer should be used to determine the exact force applied to the compression set.</a:t>
          </a:r>
          <a:endParaRPr lang="fr-FR" sz="1100"/>
        </a:p>
      </xdr:txBody>
    </xdr:sp>
    <xdr:clientData/>
  </xdr:twoCellAnchor>
  <xdr:twoCellAnchor>
    <xdr:from>
      <xdr:col>10</xdr:col>
      <xdr:colOff>28574</xdr:colOff>
      <xdr:row>86</xdr:row>
      <xdr:rowOff>152400</xdr:rowOff>
    </xdr:from>
    <xdr:to>
      <xdr:col>13</xdr:col>
      <xdr:colOff>390525</xdr:colOff>
      <xdr:row>89</xdr:row>
      <xdr:rowOff>161926</xdr:rowOff>
    </xdr:to>
    <xdr:sp macro="" textlink="">
      <xdr:nvSpPr>
        <xdr:cNvPr id="31" name="ZoneTexte 30">
          <a:extLst>
            <a:ext uri="{FF2B5EF4-FFF2-40B4-BE49-F238E27FC236}">
              <a16:creationId xmlns:a16="http://schemas.microsoft.com/office/drawing/2014/main" id="{108DF17F-451F-4BCE-8281-6F468DDEC092}"/>
            </a:ext>
          </a:extLst>
        </xdr:cNvPr>
        <xdr:cNvSpPr txBox="1"/>
      </xdr:nvSpPr>
      <xdr:spPr>
        <a:xfrm>
          <a:off x="7648574" y="16535400"/>
          <a:ext cx="2647951" cy="581026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Global Safety Factor value</a:t>
          </a:r>
          <a:r>
            <a:rPr lang="fr-FR" sz="1100" baseline="0"/>
            <a:t> should always be superior or equal to 4.</a:t>
          </a:r>
          <a:endParaRPr lang="fr-FR" sz="1100"/>
        </a:p>
      </xdr:txBody>
    </xdr:sp>
    <xdr:clientData/>
  </xdr:twoCellAnchor>
  <xdr:twoCellAnchor>
    <xdr:from>
      <xdr:col>1</xdr:col>
      <xdr:colOff>57150</xdr:colOff>
      <xdr:row>94</xdr:row>
      <xdr:rowOff>23810</xdr:rowOff>
    </xdr:from>
    <xdr:to>
      <xdr:col>3</xdr:col>
      <xdr:colOff>76200</xdr:colOff>
      <xdr:row>98</xdr:row>
      <xdr:rowOff>19049</xdr:rowOff>
    </xdr:to>
    <xdr:sp macro="" textlink="">
      <xdr:nvSpPr>
        <xdr:cNvPr id="32" name="ZoneTexte 31">
          <a:extLst>
            <a:ext uri="{FF2B5EF4-FFF2-40B4-BE49-F238E27FC236}">
              <a16:creationId xmlns:a16="http://schemas.microsoft.com/office/drawing/2014/main" id="{0012C9BF-9413-4353-BB82-B059D3D235DD}"/>
            </a:ext>
          </a:extLst>
        </xdr:cNvPr>
        <xdr:cNvSpPr txBox="1"/>
      </xdr:nvSpPr>
      <xdr:spPr>
        <a:xfrm>
          <a:off x="819150" y="17930810"/>
          <a:ext cx="1543050" cy="75723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7. The tab</a:t>
          </a:r>
          <a:r>
            <a:rPr lang="fr-FR" sz="1100" baseline="0"/>
            <a:t> displays the status of the 'Configuration Check'.</a:t>
          </a:r>
          <a:endParaRPr lang="fr-FR" sz="1100"/>
        </a:p>
      </xdr:txBody>
    </xdr:sp>
    <xdr:clientData/>
  </xdr:twoCellAnchor>
  <xdr:twoCellAnchor>
    <xdr:from>
      <xdr:col>10</xdr:col>
      <xdr:colOff>19049</xdr:colOff>
      <xdr:row>94</xdr:row>
      <xdr:rowOff>19050</xdr:rowOff>
    </xdr:from>
    <xdr:to>
      <xdr:col>13</xdr:col>
      <xdr:colOff>381000</xdr:colOff>
      <xdr:row>97</xdr:row>
      <xdr:rowOff>171450</xdr:rowOff>
    </xdr:to>
    <xdr:sp macro="" textlink="">
      <xdr:nvSpPr>
        <xdr:cNvPr id="33" name="ZoneTexte 32">
          <a:extLst>
            <a:ext uri="{FF2B5EF4-FFF2-40B4-BE49-F238E27FC236}">
              <a16:creationId xmlns:a16="http://schemas.microsoft.com/office/drawing/2014/main" id="{35F7D7C6-3039-424F-B522-8702DEDAFA78}"/>
            </a:ext>
          </a:extLst>
        </xdr:cNvPr>
        <xdr:cNvSpPr txBox="1"/>
      </xdr:nvSpPr>
      <xdr:spPr>
        <a:xfrm>
          <a:off x="7639049" y="17926050"/>
          <a:ext cx="2647951" cy="723900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Configuration Check should alway</a:t>
          </a:r>
          <a:r>
            <a:rPr lang="fr-FR" sz="1100" baseline="0"/>
            <a:t>s be 'OK' and Green for the configuration to be valid to hang.</a:t>
          </a:r>
          <a:endParaRPr lang="fr-FR" sz="1100"/>
        </a:p>
      </xdr:txBody>
    </xdr:sp>
    <xdr:clientData/>
  </xdr:twoCellAnchor>
  <xdr:twoCellAnchor editAs="oneCell">
    <xdr:from>
      <xdr:col>4</xdr:col>
      <xdr:colOff>9525</xdr:colOff>
      <xdr:row>101</xdr:row>
      <xdr:rowOff>54429</xdr:rowOff>
    </xdr:from>
    <xdr:to>
      <xdr:col>9</xdr:col>
      <xdr:colOff>410163</xdr:colOff>
      <xdr:row>102</xdr:row>
      <xdr:rowOff>66674</xdr:rowOff>
    </xdr:to>
    <xdr:pic>
      <xdr:nvPicPr>
        <xdr:cNvPr id="34" name="Image 33">
          <a:extLst>
            <a:ext uri="{FF2B5EF4-FFF2-40B4-BE49-F238E27FC236}">
              <a16:creationId xmlns:a16="http://schemas.microsoft.com/office/drawing/2014/main" id="{41EC041B-8672-36EB-6A78-2E5B35ED12F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6312" b="44193"/>
        <a:stretch>
          <a:fillRect/>
        </a:stretch>
      </xdr:blipFill>
      <xdr:spPr>
        <a:xfrm>
          <a:off x="3057525" y="19294929"/>
          <a:ext cx="4210638" cy="202745"/>
        </a:xfrm>
        <a:prstGeom prst="rect">
          <a:avLst/>
        </a:prstGeom>
      </xdr:spPr>
    </xdr:pic>
    <xdr:clientData/>
  </xdr:twoCellAnchor>
  <xdr:twoCellAnchor>
    <xdr:from>
      <xdr:col>1</xdr:col>
      <xdr:colOff>19050</xdr:colOff>
      <xdr:row>101</xdr:row>
      <xdr:rowOff>14285</xdr:rowOff>
    </xdr:from>
    <xdr:to>
      <xdr:col>3</xdr:col>
      <xdr:colOff>38100</xdr:colOff>
      <xdr:row>106</xdr:row>
      <xdr:rowOff>38100</xdr:rowOff>
    </xdr:to>
    <xdr:sp macro="" textlink="">
      <xdr:nvSpPr>
        <xdr:cNvPr id="35" name="ZoneTexte 34">
          <a:extLst>
            <a:ext uri="{FF2B5EF4-FFF2-40B4-BE49-F238E27FC236}">
              <a16:creationId xmlns:a16="http://schemas.microsoft.com/office/drawing/2014/main" id="{450B9091-5B99-434C-B5AB-8CF001EBCAC4}"/>
            </a:ext>
          </a:extLst>
        </xdr:cNvPr>
        <xdr:cNvSpPr txBox="1"/>
      </xdr:nvSpPr>
      <xdr:spPr>
        <a:xfrm>
          <a:off x="781050" y="19254785"/>
          <a:ext cx="1543050" cy="97631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8.</a:t>
          </a:r>
          <a:r>
            <a:rPr lang="fr-FR" sz="1100" baseline="0"/>
            <a:t> The tab displays the estimated Cables Weight which is used on the Cluster Weight calculation.</a:t>
          </a:r>
          <a:endParaRPr lang="fr-FR" sz="1100"/>
        </a:p>
      </xdr:txBody>
    </xdr:sp>
    <xdr:clientData/>
  </xdr:twoCellAnchor>
  <xdr:twoCellAnchor editAs="oneCell">
    <xdr:from>
      <xdr:col>10</xdr:col>
      <xdr:colOff>38100</xdr:colOff>
      <xdr:row>100</xdr:row>
      <xdr:rowOff>28575</xdr:rowOff>
    </xdr:from>
    <xdr:to>
      <xdr:col>20</xdr:col>
      <xdr:colOff>515480</xdr:colOff>
      <xdr:row>123</xdr:row>
      <xdr:rowOff>181608</xdr:rowOff>
    </xdr:to>
    <xdr:pic>
      <xdr:nvPicPr>
        <xdr:cNvPr id="36" name="Image 35">
          <a:extLst>
            <a:ext uri="{FF2B5EF4-FFF2-40B4-BE49-F238E27FC236}">
              <a16:creationId xmlns:a16="http://schemas.microsoft.com/office/drawing/2014/main" id="{29460B5F-2A6E-3D4D-22D1-A5ACB751CA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/>
        <a:stretch>
          <a:fillRect/>
        </a:stretch>
      </xdr:blipFill>
      <xdr:spPr>
        <a:xfrm>
          <a:off x="7658100" y="19078575"/>
          <a:ext cx="8097380" cy="4534533"/>
        </a:xfrm>
        <a:prstGeom prst="rect">
          <a:avLst/>
        </a:prstGeom>
      </xdr:spPr>
    </xdr:pic>
    <xdr:clientData/>
  </xdr:twoCellAnchor>
  <xdr:twoCellAnchor>
    <xdr:from>
      <xdr:col>4</xdr:col>
      <xdr:colOff>19050</xdr:colOff>
      <xdr:row>103</xdr:row>
      <xdr:rowOff>138110</xdr:rowOff>
    </xdr:from>
    <xdr:to>
      <xdr:col>9</xdr:col>
      <xdr:colOff>342900</xdr:colOff>
      <xdr:row>113</xdr:row>
      <xdr:rowOff>0</xdr:rowOff>
    </xdr:to>
    <xdr:sp macro="" textlink="">
      <xdr:nvSpPr>
        <xdr:cNvPr id="37" name="ZoneTexte 36">
          <a:extLst>
            <a:ext uri="{FF2B5EF4-FFF2-40B4-BE49-F238E27FC236}">
              <a16:creationId xmlns:a16="http://schemas.microsoft.com/office/drawing/2014/main" id="{02864F22-0F2A-455C-A99D-F3704185FD87}"/>
            </a:ext>
          </a:extLst>
        </xdr:cNvPr>
        <xdr:cNvSpPr txBox="1"/>
      </xdr:nvSpPr>
      <xdr:spPr>
        <a:xfrm>
          <a:off x="3067050" y="19759610"/>
          <a:ext cx="4133850" cy="176689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The Cables Weight</a:t>
          </a:r>
          <a:r>
            <a:rPr lang="fr-FR" sz="1100" baseline="0"/>
            <a:t> value can be modified by using the 'CablesWeight' tab of the same APG UMCalc Excel sheet.</a:t>
          </a:r>
        </a:p>
        <a:p>
          <a:endParaRPr lang="fr-FR" sz="1100" baseline="0"/>
        </a:p>
        <a:p>
          <a:r>
            <a:rPr lang="fr-FR" sz="1100" baseline="0"/>
            <a:t>Use the White and blue cells to type the number of cables and accessories that you are using in the current configuration.</a:t>
          </a:r>
        </a:p>
        <a:p>
          <a:endParaRPr lang="fr-FR" sz="1100" baseline="0"/>
        </a:p>
        <a:p>
          <a:r>
            <a:rPr lang="fr-FR" sz="1100" baseline="0"/>
            <a:t>Then the result of the estimated Cluster Cables Weight is displayed and directly used in the UMCalc tab.</a:t>
          </a:r>
        </a:p>
        <a:p>
          <a:endParaRPr lang="fr-FR" sz="1100" baseline="0"/>
        </a:p>
      </xdr:txBody>
    </xdr:sp>
    <xdr:clientData/>
  </xdr:twoCellAnchor>
  <xdr:twoCellAnchor editAs="oneCell">
    <xdr:from>
      <xdr:col>3</xdr:col>
      <xdr:colOff>752475</xdr:colOff>
      <xdr:row>130</xdr:row>
      <xdr:rowOff>0</xdr:rowOff>
    </xdr:from>
    <xdr:to>
      <xdr:col>9</xdr:col>
      <xdr:colOff>391113</xdr:colOff>
      <xdr:row>131</xdr:row>
      <xdr:rowOff>28632</xdr:rowOff>
    </xdr:to>
    <xdr:pic>
      <xdr:nvPicPr>
        <xdr:cNvPr id="38" name="Image 37">
          <a:extLst>
            <a:ext uri="{FF2B5EF4-FFF2-40B4-BE49-F238E27FC236}">
              <a16:creationId xmlns:a16="http://schemas.microsoft.com/office/drawing/2014/main" id="{402685ED-5D50-4F4E-B542-8E32C524D80E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9"/>
        <a:srcRect t="46505"/>
        <a:stretch>
          <a:fillRect/>
        </a:stretch>
      </xdr:blipFill>
      <xdr:spPr>
        <a:xfrm>
          <a:off x="3038475" y="24765000"/>
          <a:ext cx="4210638" cy="219132"/>
        </a:xfrm>
        <a:prstGeom prst="rect">
          <a:avLst/>
        </a:prstGeom>
      </xdr:spPr>
    </xdr:pic>
    <xdr:clientData/>
  </xdr:twoCellAnchor>
  <xdr:twoCellAnchor>
    <xdr:from>
      <xdr:col>8</xdr:col>
      <xdr:colOff>609600</xdr:colOff>
      <xdr:row>102</xdr:row>
      <xdr:rowOff>76200</xdr:rowOff>
    </xdr:from>
    <xdr:to>
      <xdr:col>15</xdr:col>
      <xdr:colOff>571500</xdr:colOff>
      <xdr:row>122</xdr:row>
      <xdr:rowOff>47625</xdr:rowOff>
    </xdr:to>
    <xdr:cxnSp macro="">
      <xdr:nvCxnSpPr>
        <xdr:cNvPr id="40" name="Connecteur droit avec flèche 39">
          <a:extLst>
            <a:ext uri="{FF2B5EF4-FFF2-40B4-BE49-F238E27FC236}">
              <a16:creationId xmlns:a16="http://schemas.microsoft.com/office/drawing/2014/main" id="{74CEF126-3162-BCB6-6836-62880902D0F0}"/>
            </a:ext>
          </a:extLst>
        </xdr:cNvPr>
        <xdr:cNvCxnSpPr/>
      </xdr:nvCxnSpPr>
      <xdr:spPr>
        <a:xfrm flipH="1" flipV="1">
          <a:off x="6705600" y="19507200"/>
          <a:ext cx="5295900" cy="3781425"/>
        </a:xfrm>
        <a:prstGeom prst="straightConnector1">
          <a:avLst/>
        </a:prstGeom>
        <a:ln w="28575"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66675</xdr:colOff>
      <xdr:row>124</xdr:row>
      <xdr:rowOff>38100</xdr:rowOff>
    </xdr:from>
    <xdr:to>
      <xdr:col>20</xdr:col>
      <xdr:colOff>466725</xdr:colOff>
      <xdr:row>125</xdr:row>
      <xdr:rowOff>119063</xdr:rowOff>
    </xdr:to>
    <xdr:sp macro="" textlink="">
      <xdr:nvSpPr>
        <xdr:cNvPr id="43" name="ZoneTexte 42">
          <a:extLst>
            <a:ext uri="{FF2B5EF4-FFF2-40B4-BE49-F238E27FC236}">
              <a16:creationId xmlns:a16="http://schemas.microsoft.com/office/drawing/2014/main" id="{5C6595BC-1FB4-43A4-807D-39F7E817E3AC}"/>
            </a:ext>
          </a:extLst>
        </xdr:cNvPr>
        <xdr:cNvSpPr txBox="1"/>
      </xdr:nvSpPr>
      <xdr:spPr>
        <a:xfrm>
          <a:off x="7686675" y="23660100"/>
          <a:ext cx="8020050" cy="271463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100" i="1"/>
            <a:t>'CablesWeight'</a:t>
          </a:r>
          <a:r>
            <a:rPr lang="fr-FR" sz="1100" i="1" baseline="0"/>
            <a:t> tab on the APG_UMCalc Excel sheet.</a:t>
          </a:r>
          <a:endParaRPr lang="fr-FR" sz="1100" i="1"/>
        </a:p>
      </xdr:txBody>
    </xdr:sp>
    <xdr:clientData/>
  </xdr:twoCellAnchor>
  <xdr:twoCellAnchor>
    <xdr:from>
      <xdr:col>1</xdr:col>
      <xdr:colOff>19050</xdr:colOff>
      <xdr:row>128</xdr:row>
      <xdr:rowOff>23810</xdr:rowOff>
    </xdr:from>
    <xdr:to>
      <xdr:col>3</xdr:col>
      <xdr:colOff>38100</xdr:colOff>
      <xdr:row>135</xdr:row>
      <xdr:rowOff>95250</xdr:rowOff>
    </xdr:to>
    <xdr:sp macro="" textlink="">
      <xdr:nvSpPr>
        <xdr:cNvPr id="44" name="ZoneTexte 43">
          <a:extLst>
            <a:ext uri="{FF2B5EF4-FFF2-40B4-BE49-F238E27FC236}">
              <a16:creationId xmlns:a16="http://schemas.microsoft.com/office/drawing/2014/main" id="{6696D29A-FBC3-4692-8B3A-4FE09128DCF3}"/>
            </a:ext>
          </a:extLst>
        </xdr:cNvPr>
        <xdr:cNvSpPr txBox="1"/>
      </xdr:nvSpPr>
      <xdr:spPr>
        <a:xfrm>
          <a:off x="781050" y="24407810"/>
          <a:ext cx="1543050" cy="1404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9. The Cluster Weight is finally</a:t>
          </a:r>
          <a:r>
            <a:rPr lang="fr-FR" sz="1100" baseline="0"/>
            <a:t> calculated and displayed and can be used to calculate weight on a hanging point.</a:t>
          </a:r>
          <a:endParaRPr lang="fr-FR" sz="1100"/>
        </a:p>
      </xdr:txBody>
    </xdr:sp>
    <xdr:clientData/>
  </xdr:twoCellAnchor>
  <xdr:twoCellAnchor>
    <xdr:from>
      <xdr:col>10</xdr:col>
      <xdr:colOff>19049</xdr:colOff>
      <xdr:row>129</xdr:row>
      <xdr:rowOff>9525</xdr:rowOff>
    </xdr:from>
    <xdr:to>
      <xdr:col>13</xdr:col>
      <xdr:colOff>495300</xdr:colOff>
      <xdr:row>134</xdr:row>
      <xdr:rowOff>0</xdr:rowOff>
    </xdr:to>
    <xdr:sp macro="" textlink="">
      <xdr:nvSpPr>
        <xdr:cNvPr id="45" name="ZoneTexte 44">
          <a:extLst>
            <a:ext uri="{FF2B5EF4-FFF2-40B4-BE49-F238E27FC236}">
              <a16:creationId xmlns:a16="http://schemas.microsoft.com/office/drawing/2014/main" id="{EA1CE430-2D85-4EB1-9266-361535B16C50}"/>
            </a:ext>
          </a:extLst>
        </xdr:cNvPr>
        <xdr:cNvSpPr txBox="1"/>
      </xdr:nvSpPr>
      <xdr:spPr>
        <a:xfrm>
          <a:off x="7639049" y="24584025"/>
          <a:ext cx="2762251" cy="942975"/>
        </a:xfrm>
        <a:prstGeom prst="rect">
          <a:avLst/>
        </a:prstGeom>
        <a:solidFill>
          <a:srgbClr val="FFFF00"/>
        </a:solidFill>
        <a:ln w="9525" cmpd="sng">
          <a:solidFill>
            <a:schemeClr val="accent4">
              <a:lumMod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r>
            <a:rPr lang="fr-FR" sz="1100"/>
            <a:t>/!\ Make sure that your hoist(s) is(are) able to carry the total weight of the array multiplied by a safety factor of 2 minimum.</a:t>
          </a:r>
        </a:p>
      </xdr:txBody>
    </xdr:sp>
    <xdr:clientData/>
  </xdr:twoCellAnchor>
  <xdr:twoCellAnchor>
    <xdr:from>
      <xdr:col>1</xdr:col>
      <xdr:colOff>19050</xdr:colOff>
      <xdr:row>138</xdr:row>
      <xdr:rowOff>23810</xdr:rowOff>
    </xdr:from>
    <xdr:to>
      <xdr:col>3</xdr:col>
      <xdr:colOff>38100</xdr:colOff>
      <xdr:row>145</xdr:row>
      <xdr:rowOff>95250</xdr:rowOff>
    </xdr:to>
    <xdr:sp macro="" textlink="">
      <xdr:nvSpPr>
        <xdr:cNvPr id="47" name="ZoneTexte 46">
          <a:extLst>
            <a:ext uri="{FF2B5EF4-FFF2-40B4-BE49-F238E27FC236}">
              <a16:creationId xmlns:a16="http://schemas.microsoft.com/office/drawing/2014/main" id="{EF8A8285-936A-42C0-A66B-DE744F4F2F64}"/>
            </a:ext>
          </a:extLst>
        </xdr:cNvPr>
        <xdr:cNvSpPr txBox="1"/>
      </xdr:nvSpPr>
      <xdr:spPr>
        <a:xfrm>
          <a:off x="781050" y="26312810"/>
          <a:ext cx="1543050" cy="140494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fr-FR" sz="1100"/>
            <a:t>10. User</a:t>
          </a:r>
          <a:r>
            <a:rPr lang="fr-FR" sz="1100" baseline="0"/>
            <a:t> can print the 'UMCalc' and 'CablesWeight' sheet to get an overview of the calculation and share the document with others.</a:t>
          </a:r>
          <a:endParaRPr lang="fr-FR" sz="1100"/>
        </a:p>
      </xdr:txBody>
    </xdr:sp>
    <xdr:clientData/>
  </xdr:twoCellAnchor>
  <xdr:twoCellAnchor editAs="oneCell">
    <xdr:from>
      <xdr:col>4</xdr:col>
      <xdr:colOff>62346</xdr:colOff>
      <xdr:row>138</xdr:row>
      <xdr:rowOff>33770</xdr:rowOff>
    </xdr:from>
    <xdr:to>
      <xdr:col>15</xdr:col>
      <xdr:colOff>482674</xdr:colOff>
      <xdr:row>169</xdr:row>
      <xdr:rowOff>72700</xdr:rowOff>
    </xdr:to>
    <xdr:pic>
      <xdr:nvPicPr>
        <xdr:cNvPr id="48" name="Image 47">
          <a:extLst>
            <a:ext uri="{FF2B5EF4-FFF2-40B4-BE49-F238E27FC236}">
              <a16:creationId xmlns:a16="http://schemas.microsoft.com/office/drawing/2014/main" id="{FC035022-4A9C-CDA7-6860-ED467B09A8C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/>
        <a:stretch>
          <a:fillRect/>
        </a:stretch>
      </xdr:blipFill>
      <xdr:spPr>
        <a:xfrm>
          <a:off x="3110346" y="26322770"/>
          <a:ext cx="8802328" cy="5944430"/>
        </a:xfrm>
        <a:prstGeom prst="rect">
          <a:avLst/>
        </a:prstGeom>
      </xdr:spPr>
    </xdr:pic>
    <xdr:clientData/>
  </xdr:twoCellAnchor>
  <xdr:twoCellAnchor editAs="oneCell">
    <xdr:from>
      <xdr:col>15</xdr:col>
      <xdr:colOff>582706</xdr:colOff>
      <xdr:row>138</xdr:row>
      <xdr:rowOff>100852</xdr:rowOff>
    </xdr:from>
    <xdr:to>
      <xdr:col>28</xdr:col>
      <xdr:colOff>755563</xdr:colOff>
      <xdr:row>164</xdr:row>
      <xdr:rowOff>53912</xdr:rowOff>
    </xdr:to>
    <xdr:pic>
      <xdr:nvPicPr>
        <xdr:cNvPr id="49" name="Image 48">
          <a:extLst>
            <a:ext uri="{FF2B5EF4-FFF2-40B4-BE49-F238E27FC236}">
              <a16:creationId xmlns:a16="http://schemas.microsoft.com/office/drawing/2014/main" id="{4C9762F1-85A1-41E1-812B-B39B75614C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/>
        <a:stretch>
          <a:fillRect/>
        </a:stretch>
      </xdr:blipFill>
      <xdr:spPr>
        <a:xfrm>
          <a:off x="12012706" y="26389852"/>
          <a:ext cx="10078857" cy="4906060"/>
        </a:xfrm>
        <a:prstGeom prst="rect">
          <a:avLst/>
        </a:prstGeom>
      </xdr:spPr>
    </xdr:pic>
    <xdr:clientData/>
  </xdr:twoCellAnchor>
  <xdr:twoCellAnchor editAs="oneCell">
    <xdr:from>
      <xdr:col>4</xdr:col>
      <xdr:colOff>0</xdr:colOff>
      <xdr:row>56</xdr:row>
      <xdr:rowOff>169333</xdr:rowOff>
    </xdr:from>
    <xdr:to>
      <xdr:col>9</xdr:col>
      <xdr:colOff>638796</xdr:colOff>
      <xdr:row>60</xdr:row>
      <xdr:rowOff>150387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9788ACDA-08B9-7FB9-5209-199A8AB88E6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3048000" y="10837333"/>
          <a:ext cx="4448796" cy="743054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112619</xdr:colOff>
      <xdr:row>2</xdr:row>
      <xdr:rowOff>95250</xdr:rowOff>
    </xdr:from>
    <xdr:to>
      <xdr:col>10</xdr:col>
      <xdr:colOff>561280</xdr:colOff>
      <xdr:row>36</xdr:row>
      <xdr:rowOff>136071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A5729F23-3D87-4546-9DC8-26EB7D1658D2}"/>
            </a:ext>
          </a:extLst>
        </xdr:cNvPr>
        <xdr:cNvGraphicFramePr>
          <a:graphicFrameLocks noChangeAspect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463444</xdr:colOff>
      <xdr:row>6</xdr:row>
      <xdr:rowOff>63551</xdr:rowOff>
    </xdr:from>
    <xdr:to>
      <xdr:col>1</xdr:col>
      <xdr:colOff>2440241</xdr:colOff>
      <xdr:row>9</xdr:row>
      <xdr:rowOff>166405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1460767-B418-9120-2C71-36DEA01CE7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801" y="1247372"/>
          <a:ext cx="1976797" cy="67435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435431</xdr:colOff>
      <xdr:row>12</xdr:row>
      <xdr:rowOff>135273</xdr:rowOff>
    </xdr:from>
    <xdr:to>
      <xdr:col>1</xdr:col>
      <xdr:colOff>3102430</xdr:colOff>
      <xdr:row>21</xdr:row>
      <xdr:rowOff>137942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760194B5-3CCC-4D5A-B430-065FF87FDAEF}"/>
            </a:ext>
          </a:extLst>
        </xdr:cNvPr>
        <xdr:cNvSpPr txBox="1"/>
      </xdr:nvSpPr>
      <xdr:spPr>
        <a:xfrm>
          <a:off x="435431" y="2462094"/>
          <a:ext cx="3347356" cy="171716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>
              <a:latin typeface="+mn-lt"/>
            </a:rPr>
            <a:t>APG UMCalc</a:t>
          </a:r>
        </a:p>
        <a:p>
          <a:pPr algn="ctr"/>
          <a:r>
            <a:rPr lang="fr-FR" sz="1050">
              <a:latin typeface="+mn-lt"/>
            </a:rPr>
            <a:t>v1.04</a:t>
          </a:r>
          <a:r>
            <a:rPr lang="fr-FR" sz="1050" baseline="0">
              <a:latin typeface="+mn-lt"/>
            </a:rPr>
            <a:t> </a:t>
          </a:r>
          <a:r>
            <a:rPr lang="fr-FR" sz="1050">
              <a:latin typeface="+mn-lt"/>
            </a:rPr>
            <a:t>- 2025-10</a:t>
          </a:r>
        </a:p>
        <a:p>
          <a:pPr algn="ctr"/>
          <a:r>
            <a:rPr lang="fr-FR" sz="1050">
              <a:latin typeface="+mn-lt"/>
            </a:rPr>
            <a:t>Copyright © 2025 Arbane Groupe. All rights reserved.</a:t>
          </a:r>
        </a:p>
        <a:p>
          <a:pPr algn="ctr"/>
          <a:r>
            <a:rPr lang="fr-FR" sz="1050">
              <a:latin typeface="+mn-lt"/>
            </a:rPr>
            <a:t>www.apg.audio</a:t>
          </a:r>
        </a:p>
        <a:p>
          <a:pPr algn="ctr"/>
          <a:r>
            <a:rPr lang="fr-FR" sz="1050">
              <a:latin typeface="+mn-lt"/>
            </a:rPr>
            <a:t>support@arbane-groupe.com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168253</xdr:colOff>
      <xdr:row>11</xdr:row>
      <xdr:rowOff>1265</xdr:rowOff>
    </xdr:from>
    <xdr:to>
      <xdr:col>6</xdr:col>
      <xdr:colOff>666751</xdr:colOff>
      <xdr:row>20</xdr:row>
      <xdr:rowOff>138546</xdr:rowOff>
    </xdr:to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4D64B364-839C-45FA-AE8E-706BDE4D6CEB}"/>
            </a:ext>
          </a:extLst>
        </xdr:cNvPr>
        <xdr:cNvSpPr txBox="1"/>
      </xdr:nvSpPr>
      <xdr:spPr>
        <a:xfrm>
          <a:off x="5294435" y="2157379"/>
          <a:ext cx="2784498" cy="1929712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50" i="1"/>
            <a:t>This calculation is an estimation of the total weight of the cables. </a:t>
          </a:r>
        </a:p>
        <a:p>
          <a:pPr algn="ctr"/>
          <a:r>
            <a:rPr lang="fr-FR" sz="1050" i="1"/>
            <a:t>This is a worst-case scenario, as it takes into account the entire weight of the cable, and not only the part that is</a:t>
          </a:r>
          <a:r>
            <a:rPr lang="fr-FR" sz="1050" i="1" baseline="0"/>
            <a:t> supported by the bumper and hoist</a:t>
          </a:r>
          <a:r>
            <a:rPr lang="fr-FR" sz="1050" i="1"/>
            <a:t>.</a:t>
          </a:r>
        </a:p>
        <a:p>
          <a:pPr algn="ctr"/>
          <a:r>
            <a:rPr lang="fr-FR" sz="1050" i="1"/>
            <a:t>It does not take into account safety slings</a:t>
          </a:r>
          <a:r>
            <a:rPr lang="fr-FR" sz="1050" i="1" baseline="0"/>
            <a:t> and other equipment that are negligible for the weight calculation.</a:t>
          </a:r>
          <a:endParaRPr lang="fr-FR" sz="1050" i="1"/>
        </a:p>
      </xdr:txBody>
    </xdr:sp>
    <xdr:clientData/>
  </xdr:twoCellAnchor>
  <xdr:twoCellAnchor editAs="oneCell">
    <xdr:from>
      <xdr:col>3</xdr:col>
      <xdr:colOff>549497</xdr:colOff>
      <xdr:row>4</xdr:row>
      <xdr:rowOff>34237</xdr:rowOff>
    </xdr:from>
    <xdr:to>
      <xdr:col>6</xdr:col>
      <xdr:colOff>242564</xdr:colOff>
      <xdr:row>7</xdr:row>
      <xdr:rowOff>143011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731E1B02-7701-49A1-9CD4-818B2D6004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675679" y="822214"/>
          <a:ext cx="1979067" cy="6802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191433</xdr:colOff>
      <xdr:row>7</xdr:row>
      <xdr:rowOff>173914</xdr:rowOff>
    </xdr:from>
    <xdr:to>
      <xdr:col>6</xdr:col>
      <xdr:colOff>387376</xdr:colOff>
      <xdr:row>10</xdr:row>
      <xdr:rowOff>12854</xdr:rowOff>
    </xdr:to>
    <xdr:sp macro="" textlink="">
      <xdr:nvSpPr>
        <xdr:cNvPr id="4" name="ZoneTexte 3">
          <a:extLst>
            <a:ext uri="{FF2B5EF4-FFF2-40B4-BE49-F238E27FC236}">
              <a16:creationId xmlns:a16="http://schemas.microsoft.com/office/drawing/2014/main" id="{CC87B5DA-2B03-45DD-97DE-ADE6525C57CD}"/>
            </a:ext>
          </a:extLst>
        </xdr:cNvPr>
        <xdr:cNvSpPr txBox="1"/>
      </xdr:nvSpPr>
      <xdr:spPr>
        <a:xfrm>
          <a:off x="5317615" y="1533391"/>
          <a:ext cx="2481943" cy="436418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000"/>
            <a:t>APG CablesWeightCalc</a:t>
          </a:r>
        </a:p>
        <a:p>
          <a:pPr algn="ctr"/>
          <a:r>
            <a:rPr lang="fr-FR" sz="1000"/>
            <a:t>v1.04</a:t>
          </a:r>
          <a:r>
            <a:rPr lang="fr-FR" sz="1000" baseline="0"/>
            <a:t> </a:t>
          </a:r>
          <a:r>
            <a:rPr lang="fr-FR" sz="1000"/>
            <a:t>- 2025-10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EBC39-961B-451A-9E89-4684B6A4DBE8}">
  <dimension ref="A1"/>
  <sheetViews>
    <sheetView zoomScale="90" zoomScaleNormal="90" workbookViewId="0">
      <selection activeCell="S3" sqref="S3"/>
    </sheetView>
  </sheetViews>
  <sheetFormatPr baseColWidth="10" defaultRowHeight="15" x14ac:dyDescent="0.25"/>
  <cols>
    <col min="1" max="16384" width="11.42578125" style="1"/>
  </cols>
  <sheetData/>
  <sheetProtection algorithmName="SHA-512" hashValue="0Dob+01peV+8p1YTVZv0hWQgCluLL8d3yz3KzyQ+4QW57SnOo+8tPmexiNldzSbiIMGBy/dhjQLDFulhs70PKw==" saltValue="g0esK0qZOATLzSt/11wnYA==" spinCount="100000" sheet="1" objects="1" scenarios="1" selectLockedCells="1" selectUnlockedCells="1"/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FDCE74-602E-4B43-948B-7AB5A1B00071}">
  <dimension ref="A1"/>
  <sheetViews>
    <sheetView zoomScale="90" zoomScaleNormal="90" workbookViewId="0">
      <selection activeCell="A42" sqref="A42"/>
    </sheetView>
  </sheetViews>
  <sheetFormatPr baseColWidth="10" defaultRowHeight="15" x14ac:dyDescent="0.25"/>
  <cols>
    <col min="1" max="16384" width="11.42578125" style="1"/>
  </cols>
  <sheetData/>
  <sheetProtection algorithmName="SHA-512" hashValue="586qsjJ6qic+ACmQ0z2wkv41KHGJZt0a6ji8A6I+7opfqxhQXffc0cnyiEUkMQI9HfSEzD1NB1mKzaDm5wgwcQ==" saltValue="0xAutspGR09Se3rKHeMWtQ==" spinCount="100000" sheet="1" objects="1" scenarios="1" selectLockedCells="1" selectUnlockedCells="1"/>
  <pageMargins left="0.7" right="0.7" top="0.75" bottom="0.75" header="0.3" footer="0.3"/>
  <pageSetup paperSize="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6518A9-98D2-4B40-B10E-BF5C514F1B9E}">
  <dimension ref="B2:BQ80"/>
  <sheetViews>
    <sheetView tabSelected="1" zoomScale="90" zoomScaleNormal="90" zoomScaleSheetLayoutView="85" zoomScalePageLayoutView="70" workbookViewId="0">
      <selection activeCell="D4" sqref="D4"/>
    </sheetView>
  </sheetViews>
  <sheetFormatPr baseColWidth="10" defaultColWidth="11.42578125" defaultRowHeight="15" x14ac:dyDescent="0.25"/>
  <cols>
    <col min="1" max="1" width="10.28515625" style="7" customWidth="1"/>
    <col min="2" max="2" width="51.42578125" style="7" bestFit="1" customWidth="1"/>
    <col min="3" max="3" width="11.7109375" style="7" customWidth="1"/>
    <col min="4" max="4" width="9.7109375" style="7" bestFit="1" customWidth="1"/>
    <col min="5" max="5" width="8.28515625" style="7" customWidth="1"/>
    <col min="6" max="6" width="7.85546875" style="7" customWidth="1"/>
    <col min="7" max="7" width="7.7109375" style="7" customWidth="1"/>
    <col min="8" max="8" width="10.7109375" style="7" customWidth="1"/>
    <col min="9" max="9" width="9.28515625" style="7" customWidth="1"/>
    <col min="10" max="10" width="10.5703125" style="7" bestFit="1" customWidth="1"/>
    <col min="11" max="12" width="9.28515625" style="7" customWidth="1"/>
    <col min="13" max="14" width="9.28515625" style="8" customWidth="1"/>
    <col min="15" max="15" width="8.5703125" style="8" customWidth="1"/>
    <col min="16" max="16" width="12.42578125" style="8" customWidth="1"/>
    <col min="17" max="17" width="16.140625" style="8" customWidth="1"/>
    <col min="18" max="18" width="9.5703125" style="8" customWidth="1"/>
    <col min="19" max="19" width="13.85546875" style="8" customWidth="1"/>
    <col min="20" max="20" width="10.140625" style="8" customWidth="1"/>
    <col min="21" max="21" width="9.85546875" style="8" customWidth="1"/>
    <col min="22" max="22" width="9.42578125" style="8" customWidth="1"/>
    <col min="23" max="23" width="7.85546875" style="8" customWidth="1"/>
    <col min="24" max="24" width="10.5703125" style="7" customWidth="1"/>
    <col min="25" max="25" width="11" style="7" customWidth="1"/>
    <col min="26" max="26" width="18.5703125" style="7" bestFit="1" customWidth="1"/>
    <col min="27" max="27" width="11" style="7" customWidth="1"/>
    <col min="28" max="28" width="10.42578125" style="7" bestFit="1" customWidth="1"/>
    <col min="29" max="29" width="10.7109375" style="7" customWidth="1"/>
    <col min="30" max="30" width="24.140625" style="7" customWidth="1"/>
    <col min="31" max="31" width="10.7109375" style="7" customWidth="1"/>
    <col min="32" max="32" width="8.7109375" style="7" customWidth="1"/>
    <col min="33" max="33" width="13.28515625" style="7" customWidth="1"/>
    <col min="34" max="34" width="8.7109375" style="7" customWidth="1"/>
    <col min="35" max="35" width="14.140625" style="7" customWidth="1"/>
    <col min="36" max="36" width="14.7109375" style="7" customWidth="1"/>
    <col min="37" max="37" width="9.140625" style="7" customWidth="1"/>
    <col min="38" max="38" width="11.140625" style="7" customWidth="1"/>
    <col min="39" max="39" width="9.28515625" style="7" customWidth="1"/>
    <col min="40" max="40" width="10" style="7" customWidth="1"/>
    <col min="41" max="41" width="10.7109375" style="7" customWidth="1"/>
    <col min="42" max="42" width="9.28515625" style="7" customWidth="1"/>
    <col min="43" max="43" width="8" style="7" customWidth="1"/>
    <col min="44" max="45" width="7.42578125" style="7" bestFit="1" customWidth="1"/>
    <col min="46" max="46" width="7.85546875" style="7" customWidth="1"/>
    <col min="47" max="47" width="8.7109375" style="7" customWidth="1"/>
    <col min="48" max="48" width="12" style="7" customWidth="1"/>
    <col min="49" max="49" width="10.42578125" style="7" customWidth="1"/>
    <col min="50" max="53" width="10" style="7" customWidth="1"/>
    <col min="54" max="54" width="13.5703125" style="7" customWidth="1"/>
    <col min="55" max="56" width="10" style="7" customWidth="1"/>
    <col min="57" max="57" width="8.7109375" style="7" customWidth="1"/>
    <col min="58" max="58" width="10" style="7" customWidth="1"/>
    <col min="59" max="59" width="7" style="7" customWidth="1"/>
    <col min="60" max="60" width="10.28515625" style="7" customWidth="1"/>
    <col min="61" max="61" width="9.140625" style="7" customWidth="1"/>
    <col min="62" max="62" width="10.28515625" style="7" customWidth="1"/>
    <col min="63" max="63" width="7.85546875" style="7" customWidth="1"/>
    <col min="64" max="64" width="8" style="7" customWidth="1"/>
    <col min="65" max="65" width="13.85546875" style="7" bestFit="1" customWidth="1"/>
    <col min="66" max="66" width="14" style="7" bestFit="1" customWidth="1"/>
    <col min="67" max="67" width="12.85546875" style="7" bestFit="1" customWidth="1"/>
    <col min="68" max="68" width="12.85546875" style="7" customWidth="1"/>
    <col min="69" max="16384" width="11.42578125" style="7"/>
  </cols>
  <sheetData>
    <row r="2" spans="2:69" ht="15.75" thickBot="1" x14ac:dyDescent="0.3">
      <c r="E2" s="8"/>
      <c r="F2" s="8"/>
      <c r="G2" s="8"/>
      <c r="H2" s="8"/>
      <c r="I2" s="8"/>
      <c r="J2" s="8"/>
      <c r="K2" s="8"/>
      <c r="L2" s="8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8"/>
      <c r="BQ2" s="8"/>
    </row>
    <row r="3" spans="2:69" ht="15.75" thickBot="1" x14ac:dyDescent="0.3">
      <c r="B3" s="52"/>
      <c r="C3" s="19" t="s">
        <v>62</v>
      </c>
      <c r="D3" s="20" t="s">
        <v>63</v>
      </c>
      <c r="E3" s="8"/>
      <c r="F3" s="8"/>
      <c r="G3" s="8"/>
      <c r="H3" s="8"/>
      <c r="I3" s="8"/>
      <c r="J3" s="8"/>
      <c r="K3" s="8"/>
      <c r="L3" s="8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8"/>
      <c r="BQ3" s="8"/>
    </row>
    <row r="4" spans="2:69" ht="15.75" thickBot="1" x14ac:dyDescent="0.3">
      <c r="B4" s="52"/>
      <c r="C4" s="47" t="s">
        <v>1</v>
      </c>
      <c r="D4" s="46">
        <v>0</v>
      </c>
      <c r="E4" s="8"/>
      <c r="F4" s="8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8"/>
    </row>
    <row r="5" spans="2:69" ht="15.75" thickTop="1" x14ac:dyDescent="0.25">
      <c r="B5" s="1">
        <v>1</v>
      </c>
      <c r="C5" s="48" t="s">
        <v>2</v>
      </c>
      <c r="D5" s="49">
        <v>0</v>
      </c>
      <c r="E5" s="8"/>
      <c r="F5" s="8"/>
      <c r="G5" s="9">
        <f t="shared" ref="G5:G22" si="0">VLOOKUP($C5,$B$41:$K$46,2,FALSE)</f>
        <v>0</v>
      </c>
      <c r="H5" s="9">
        <f t="shared" ref="H5:H22" si="1">VLOOKUP($C5,$B$41:$K$46,3,FALSE)</f>
        <v>0</v>
      </c>
      <c r="I5" s="9">
        <f t="shared" ref="I5:I22" si="2">VLOOKUP($C5,$B$41:$K$46,4,FALSE)</f>
        <v>-230</v>
      </c>
      <c r="J5" s="9">
        <f t="shared" ref="J5:J22" si="3">VLOOKUP($C5,$B$41:$K$46,5,FALSE)</f>
        <v>0</v>
      </c>
      <c r="K5" s="9">
        <f t="shared" ref="K5:K22" si="4">VLOOKUP($C5,$B$41:$K$46,6,FALSE)</f>
        <v>0</v>
      </c>
      <c r="L5" s="9">
        <f t="shared" ref="L5:L22" si="5">VLOOKUP($C5,$B$41:$K$46,7,FALSE)</f>
        <v>-286</v>
      </c>
      <c r="M5" s="9">
        <f t="shared" ref="M5:M22" si="6">VLOOKUP($C5,$B$41:$K$46,8,FALSE)</f>
        <v>-99</v>
      </c>
      <c r="N5" s="9">
        <f t="shared" ref="N5:N22" si="7">VLOOKUP($C5,$B$41:$K$46,9,FALSE)</f>
        <v>-166.8</v>
      </c>
      <c r="O5" s="9">
        <f t="shared" ref="O5:O22" si="8">VLOOKUP($C5,$B$41:$K$46,10,FALSE)</f>
        <v>42</v>
      </c>
      <c r="P5" s="9">
        <f>IF(C5="-",0,-D5+D4)</f>
        <v>0</v>
      </c>
      <c r="Q5" s="9">
        <f t="shared" ref="Q5:Q21" si="9">Q6+O5*0.5*9.81</f>
        <v>1236.0600000000002</v>
      </c>
      <c r="R5" s="9">
        <f>$M5*COS(RADIANS(P5))-$N5*SIN(RADIANS(P5))</f>
        <v>-99</v>
      </c>
      <c r="S5" s="9">
        <f t="shared" ref="S5:S21" si="10">$M5*SIN(RADIANS(P5))+$N5*COS(RADIANS(P5))</f>
        <v>-166.8</v>
      </c>
      <c r="T5" s="9">
        <f>$K5*COS(RADIANS(P5))-$L5*SIN(RADIANS(P5))</f>
        <v>0</v>
      </c>
      <c r="U5" s="9">
        <f>$K5*SIN(RADIANS($P5))+$L5*COS(RADIANS($P5))</f>
        <v>-286</v>
      </c>
      <c r="V5" s="9">
        <f>$I5*COS(RADIANS(P5))-$J5*SIN(RADIANS(P5))</f>
        <v>-230</v>
      </c>
      <c r="W5" s="9">
        <f>$I5*SIN(RADIANS($P5))+$J5*COS(RADIANS($P5))</f>
        <v>0</v>
      </c>
      <c r="X5" s="9">
        <v>0</v>
      </c>
      <c r="Y5" s="9">
        <v>0</v>
      </c>
      <c r="Z5" s="9">
        <f t="shared" ref="Z5:Z22" si="11">X5+R5</f>
        <v>-99</v>
      </c>
      <c r="AA5" s="9">
        <f t="shared" ref="AA5:AA22" si="12">S5+Y5</f>
        <v>-166.8</v>
      </c>
      <c r="AB5" s="9">
        <f>IF(O5=0,0,SUMPRODUCT(Z5:$Z$22, O5:$O$22)/SUM(O5:$O$22)-X5)</f>
        <v>-121.19941062492991</v>
      </c>
      <c r="AC5" s="9">
        <f>IF(O5=0,0,SUMPRODUCT($AA5:$AA$22, $O5:$O$22)/SUM($O5:O$22)-Y5)</f>
        <v>-874.65648173060924</v>
      </c>
      <c r="AD5" s="9">
        <f>$U$47*COS(RADIANS(P22))-$V$47*SIN(RADIANS(P22))+X22</f>
        <v>-574.00726497289793</v>
      </c>
      <c r="AE5" s="9">
        <f>$U$47*SIN(RADIANS($P22))+$V$47*COS(RADIANS($P22))+Y22</f>
        <v>-1912.8936114468147</v>
      </c>
      <c r="AF5" s="9">
        <f>$U$48*COS(RADIANS(P5))-$V$48*SIN(RADIANS(P5))</f>
        <v>-500</v>
      </c>
      <c r="AG5" s="9">
        <f>$U$48*SIN(RADIANS($P5))+$V$48*COS(RADIANS($P5))</f>
        <v>0</v>
      </c>
      <c r="AH5" s="9">
        <f>DEGREES(ATAN((ABS(AG5)-ABS(AE5))/(ABS(AF5)-ABS(AD5))))</f>
        <v>87.784408832861118</v>
      </c>
      <c r="AI5" s="9">
        <f t="shared" ref="AI5:AI22" si="13">AB5*COS(RADIANS(-P5))-AC5*SIN(RADIANS(-P5))</f>
        <v>-121.19941062492991</v>
      </c>
      <c r="AJ5" s="9">
        <f t="shared" ref="AJ5:AJ22" si="14">AB5*SIN(RADIANS(-P5))+AC5*COS(RADIANS(-P5))</f>
        <v>-874.65648173060924</v>
      </c>
      <c r="AK5" s="9">
        <f t="shared" ref="AK5:AK21" si="15">-(P5+90)</f>
        <v>-90</v>
      </c>
      <c r="AL5" s="9">
        <f>RADIANS(AK5)</f>
        <v>-1.5707963267948966</v>
      </c>
      <c r="AM5" s="9">
        <f>Q5*COS(AL5)</f>
        <v>7.5717849958717458E-14</v>
      </c>
      <c r="AN5" s="9">
        <f>Q5*SIN(AL5)</f>
        <v>-1236.0600000000002</v>
      </c>
      <c r="AO5" s="9">
        <f t="shared" ref="AO5:AO22" si="16">$AD$5-X5</f>
        <v>-574.00726497289793</v>
      </c>
      <c r="AP5" s="9">
        <f t="shared" ref="AP5:AP22" si="17">$AE$5-Y5</f>
        <v>-1912.8936114468147</v>
      </c>
      <c r="AQ5" s="9">
        <f t="shared" ref="AQ5:AQ22" si="18">$AH$5-P5</f>
        <v>87.784408832861118</v>
      </c>
      <c r="AR5" s="9">
        <f>RADIANS(AQ5)</f>
        <v>1.532126966050219</v>
      </c>
      <c r="AS5" s="9">
        <f t="shared" ref="AS5:AS22" si="19">IF(C5="-",0,0.5*$U$54*COS(AR5))</f>
        <v>48.324655363221915</v>
      </c>
      <c r="AT5" s="9">
        <f t="shared" ref="AT5:AT22" si="20">IF(C5="-",0,0.5*$U$54*SIN(AR5))</f>
        <v>1249.0655417887508</v>
      </c>
      <c r="AU5" s="9">
        <v>0</v>
      </c>
      <c r="AV5" s="9">
        <f>-(AN5*ABS(AI5)-AM5*ABS(AJ5))/ABS($I5)</f>
        <v>651.34671085674324</v>
      </c>
      <c r="AW5" s="9">
        <f>-AM5</f>
        <v>-7.5717849958717458E-14</v>
      </c>
      <c r="AX5" s="9">
        <f>-AN5-AV5</f>
        <v>584.71328914325693</v>
      </c>
      <c r="AY5" s="9">
        <v>0</v>
      </c>
      <c r="AZ5" s="9">
        <f>-(AT5*ABS(AO5)-AS5*ABS(AP5))/ABS($I5)</f>
        <v>-2715.3598734538064</v>
      </c>
      <c r="BA5" s="9">
        <f>-AS5</f>
        <v>-48.324655363221915</v>
      </c>
      <c r="BB5" s="9">
        <f>(-AZ5-AT5)</f>
        <v>1466.2943316650556</v>
      </c>
      <c r="BC5" s="9">
        <f t="shared" ref="BC5:BD21" si="21">BA5+AY5+AU5+AS5+AM5+AW5</f>
        <v>0</v>
      </c>
      <c r="BD5" s="9">
        <f>BB5+AZ5+AV5+AT5+AN5+AX5</f>
        <v>0</v>
      </c>
      <c r="BE5" s="9">
        <f t="shared" ref="BE5:BE22" si="22">BA5+AW5</f>
        <v>-48.324655363221993</v>
      </c>
      <c r="BF5" s="9">
        <f t="shared" ref="BF5:BF22" si="23">BB5+AX5</f>
        <v>2051.0076208083124</v>
      </c>
      <c r="BG5" s="9">
        <f t="shared" ref="BG5:BG22" si="24">AY5+AU5</f>
        <v>0</v>
      </c>
      <c r="BH5" s="9">
        <f t="shared" ref="BH5:BH22" si="25">AZ5+AV5</f>
        <v>-2064.013162597063</v>
      </c>
      <c r="BI5" s="9">
        <f>SQRT(BE5^2+BF5^2)</f>
        <v>2051.5768406105944</v>
      </c>
      <c r="BJ5" s="9">
        <f>SQRT(BG5^2+BH5^2)</f>
        <v>2064.013162597063</v>
      </c>
      <c r="BK5" s="9">
        <f t="shared" ref="BK5:BK22" si="26">(4/PI())*(BI5)/($U$50*2*$U$51)</f>
        <v>40.814824414503704</v>
      </c>
      <c r="BL5" s="9">
        <f t="shared" ref="BL5:BL22" si="27">(4/PI())*(BJ5)/($U$50*2*$U$51)</f>
        <v>41.062237179257309</v>
      </c>
      <c r="BM5" s="9">
        <f t="shared" ref="BM5:BM22" si="28">IF(BK5=0,10000,$U$49/BK5)</f>
        <v>17.150631174864305</v>
      </c>
      <c r="BN5" s="9">
        <f t="shared" ref="BN5:BN22" si="29">IF(BL5=0,10000,$U$49/BL5)</f>
        <v>17.047293281760272</v>
      </c>
      <c r="BO5" s="9"/>
      <c r="BP5" s="11"/>
      <c r="BQ5" s="8"/>
    </row>
    <row r="6" spans="2:69" x14ac:dyDescent="0.25">
      <c r="B6" s="1">
        <v>2</v>
      </c>
      <c r="C6" s="50" t="s">
        <v>2</v>
      </c>
      <c r="D6" s="51">
        <v>0</v>
      </c>
      <c r="E6" s="8"/>
      <c r="F6" s="8"/>
      <c r="G6" s="9">
        <f t="shared" si="0"/>
        <v>0</v>
      </c>
      <c r="H6" s="9">
        <f t="shared" si="1"/>
        <v>0</v>
      </c>
      <c r="I6" s="9">
        <f t="shared" si="2"/>
        <v>-230</v>
      </c>
      <c r="J6" s="9">
        <f t="shared" si="3"/>
        <v>0</v>
      </c>
      <c r="K6" s="9">
        <f t="shared" si="4"/>
        <v>0</v>
      </c>
      <c r="L6" s="9">
        <f t="shared" si="5"/>
        <v>-286</v>
      </c>
      <c r="M6" s="9">
        <f t="shared" si="6"/>
        <v>-99</v>
      </c>
      <c r="N6" s="9">
        <f t="shared" si="7"/>
        <v>-166.8</v>
      </c>
      <c r="O6" s="9">
        <f t="shared" si="8"/>
        <v>42</v>
      </c>
      <c r="P6" s="9">
        <f>IF(C6="-",P5,-D6+P5)</f>
        <v>0</v>
      </c>
      <c r="Q6" s="9">
        <f t="shared" si="9"/>
        <v>1030.0500000000002</v>
      </c>
      <c r="R6" s="9">
        <f t="shared" ref="R6:R22" si="30">$M6*COS(RADIANS(P6))-$N6*SIN(RADIANS(P6))</f>
        <v>-99</v>
      </c>
      <c r="S6" s="9">
        <f t="shared" si="10"/>
        <v>-166.8</v>
      </c>
      <c r="T6" s="9">
        <f t="shared" ref="T6:T22" si="31">$K6*COS(RADIANS(P6))-$L6*SIN(RADIANS(P6))</f>
        <v>0</v>
      </c>
      <c r="U6" s="9">
        <f t="shared" ref="U6:U22" si="32">$K6*SIN(RADIANS($P6))+$L6*COS(RADIANS($P6))</f>
        <v>-286</v>
      </c>
      <c r="V6" s="9">
        <f t="shared" ref="V6:V22" si="33">$I6*COS(RADIANS(P6))-$J6*SIN(RADIANS(P6))</f>
        <v>-230</v>
      </c>
      <c r="W6" s="9">
        <f t="shared" ref="W6:W22" si="34">$I6*SIN(RADIANS($P6))+$J6*COS(RADIANS($P6))</f>
        <v>0</v>
      </c>
      <c r="X6" s="9">
        <f t="shared" ref="X6:Y21" si="35">X5+T5</f>
        <v>0</v>
      </c>
      <c r="Y6" s="9">
        <f t="shared" si="35"/>
        <v>-286</v>
      </c>
      <c r="Z6" s="9">
        <f t="shared" si="11"/>
        <v>-99</v>
      </c>
      <c r="AA6" s="9">
        <f t="shared" si="12"/>
        <v>-452.8</v>
      </c>
      <c r="AB6" s="9">
        <f>IF(O6=0,0,SUMPRODUCT(Z6:$Z$22, O6:$O$22)/SUM(O6:$O$22)-X6)</f>
        <v>-125.63929274991588</v>
      </c>
      <c r="AC6" s="9">
        <f>IF(O6=0,0,SUMPRODUCT($AA6:$AA$22, $O6:$O$22)/SUM($O6:O$22)-Y6)</f>
        <v>-730.22777807673094</v>
      </c>
      <c r="AD6" s="9"/>
      <c r="AE6" s="9"/>
      <c r="AF6" s="9"/>
      <c r="AG6" s="9"/>
      <c r="AH6" s="9"/>
      <c r="AI6" s="9">
        <f t="shared" si="13"/>
        <v>-125.63929274991588</v>
      </c>
      <c r="AJ6" s="9">
        <f t="shared" si="14"/>
        <v>-730.22777807673094</v>
      </c>
      <c r="AK6" s="9">
        <f t="shared" si="15"/>
        <v>-90</v>
      </c>
      <c r="AL6" s="9">
        <f t="shared" ref="AL6:AL22" si="36">RADIANS(AK6)</f>
        <v>-1.5707963267948966</v>
      </c>
      <c r="AM6" s="9">
        <f t="shared" ref="AM6:AM22" si="37">Q6*COS(AL6)</f>
        <v>6.3098208298931215E-14</v>
      </c>
      <c r="AN6" s="9">
        <f t="shared" ref="AN6:AN22" si="38">Q6*SIN(AL6)</f>
        <v>-1030.0500000000002</v>
      </c>
      <c r="AO6" s="9">
        <f t="shared" si="16"/>
        <v>-574.00726497289793</v>
      </c>
      <c r="AP6" s="9">
        <f t="shared" si="17"/>
        <v>-1626.8936114468147</v>
      </c>
      <c r="AQ6" s="9">
        <f t="shared" si="18"/>
        <v>87.784408832861118</v>
      </c>
      <c r="AR6" s="9">
        <f t="shared" ref="AR6:AR22" si="39">RADIANS(AQ6)</f>
        <v>1.532126966050219</v>
      </c>
      <c r="AS6" s="9">
        <f t="shared" si="19"/>
        <v>48.324655363221915</v>
      </c>
      <c r="AT6" s="9">
        <f t="shared" si="20"/>
        <v>1249.0655417887508</v>
      </c>
      <c r="AU6" s="9">
        <v>0</v>
      </c>
      <c r="AV6" s="9">
        <f t="shared" ref="AV6:AV22" si="40">-(AN6*ABS(AI6)-AM6*ABS(AJ6))/ABS($I6)</f>
        <v>562.67284129152574</v>
      </c>
      <c r="AW6" s="9">
        <f t="shared" ref="AW6:AW22" si="41">-AM6</f>
        <v>-6.3098208298931215E-14</v>
      </c>
      <c r="AX6" s="9">
        <f t="shared" ref="AX6:AX22" si="42">-AN6-AV6</f>
        <v>467.37715870847444</v>
      </c>
      <c r="AY6" s="9">
        <v>0</v>
      </c>
      <c r="AZ6" s="9">
        <f t="shared" ref="AZ6:AZ22" si="43">-(AT6*ABS(AO6)-AS6*ABS(AP6))/ABS($I6)</f>
        <v>-2775.4505318619867</v>
      </c>
      <c r="BA6" s="9">
        <f t="shared" ref="BA6:BA22" si="44">-AS6</f>
        <v>-48.324655363221915</v>
      </c>
      <c r="BB6" s="9">
        <f t="shared" ref="BB6:BB22" si="45">(-AZ6-AT6)</f>
        <v>1526.3849900732359</v>
      </c>
      <c r="BC6" s="9">
        <f t="shared" si="21"/>
        <v>0</v>
      </c>
      <c r="BD6" s="9">
        <f t="shared" si="21"/>
        <v>0</v>
      </c>
      <c r="BE6" s="9">
        <f t="shared" si="22"/>
        <v>-48.324655363221979</v>
      </c>
      <c r="BF6" s="9">
        <f t="shared" si="23"/>
        <v>1993.7621487817105</v>
      </c>
      <c r="BG6" s="9">
        <f t="shared" si="24"/>
        <v>0</v>
      </c>
      <c r="BH6" s="9">
        <f t="shared" si="25"/>
        <v>-2212.7776905704609</v>
      </c>
      <c r="BI6" s="9">
        <f t="shared" ref="BI6:BI22" si="46">SQRT(BE6^2+BF6^2)</f>
        <v>1994.3477074549055</v>
      </c>
      <c r="BJ6" s="9">
        <f t="shared" ref="BJ6:BJ22" si="47">SQRT(BG6^2+BH6^2)</f>
        <v>2212.7776905704609</v>
      </c>
      <c r="BK6" s="9">
        <f t="shared" si="26"/>
        <v>39.676286985679681</v>
      </c>
      <c r="BL6" s="9">
        <f t="shared" si="27"/>
        <v>44.021813427219662</v>
      </c>
      <c r="BM6" s="9">
        <f t="shared" si="28"/>
        <v>17.642779936858766</v>
      </c>
      <c r="BN6" s="9">
        <f t="shared" si="29"/>
        <v>15.901207730964906</v>
      </c>
      <c r="BO6" s="9"/>
      <c r="BP6" s="11"/>
      <c r="BQ6" s="8"/>
    </row>
    <row r="7" spans="2:69" x14ac:dyDescent="0.25">
      <c r="B7" s="1">
        <v>3</v>
      </c>
      <c r="C7" s="50" t="s">
        <v>2</v>
      </c>
      <c r="D7" s="51">
        <v>1</v>
      </c>
      <c r="E7" s="8"/>
      <c r="F7" s="8"/>
      <c r="G7" s="9">
        <f t="shared" si="0"/>
        <v>0</v>
      </c>
      <c r="H7" s="9">
        <f t="shared" si="1"/>
        <v>0</v>
      </c>
      <c r="I7" s="9">
        <f t="shared" si="2"/>
        <v>-230</v>
      </c>
      <c r="J7" s="9">
        <f t="shared" si="3"/>
        <v>0</v>
      </c>
      <c r="K7" s="9">
        <f t="shared" si="4"/>
        <v>0</v>
      </c>
      <c r="L7" s="9">
        <f t="shared" si="5"/>
        <v>-286</v>
      </c>
      <c r="M7" s="9">
        <f t="shared" si="6"/>
        <v>-99</v>
      </c>
      <c r="N7" s="9">
        <f t="shared" si="7"/>
        <v>-166.8</v>
      </c>
      <c r="O7" s="9">
        <f t="shared" si="8"/>
        <v>42</v>
      </c>
      <c r="P7" s="9">
        <f t="shared" ref="P7:P22" si="48">IF(C7="-",P6,-D7+P6)</f>
        <v>-1</v>
      </c>
      <c r="Q7" s="9">
        <f t="shared" si="9"/>
        <v>824.04000000000008</v>
      </c>
      <c r="R7" s="9">
        <f t="shared" si="30"/>
        <v>-101.89598321422163</v>
      </c>
      <c r="S7" s="9">
        <f t="shared" si="10"/>
        <v>-165.04680731479502</v>
      </c>
      <c r="T7" s="9">
        <f t="shared" si="31"/>
        <v>-4.9913882410630848</v>
      </c>
      <c r="U7" s="9">
        <f t="shared" si="32"/>
        <v>-285.9564408147279</v>
      </c>
      <c r="V7" s="9">
        <f t="shared" si="33"/>
        <v>-229.96496988596999</v>
      </c>
      <c r="W7" s="9">
        <f t="shared" si="34"/>
        <v>4.0140534805752077</v>
      </c>
      <c r="X7" s="9">
        <f t="shared" si="35"/>
        <v>0</v>
      </c>
      <c r="Y7" s="9">
        <f t="shared" si="35"/>
        <v>-572</v>
      </c>
      <c r="Z7" s="9">
        <f t="shared" si="11"/>
        <v>-101.89598321422163</v>
      </c>
      <c r="AA7" s="9">
        <f t="shared" si="12"/>
        <v>-737.04680731479505</v>
      </c>
      <c r="AB7" s="9">
        <f>IF(O7=0,0,SUMPRODUCT(Z7:$Z$22, O7:$O$22)/SUM(O7:$O$22)-X7)</f>
        <v>-132.29911593739487</v>
      </c>
      <c r="AC7" s="9">
        <f>IF(O7=0,0,SUMPRODUCT($AA7:$AA$22, $O7:$O$22)/SUM($O7:O$22)-Y7)</f>
        <v>-585.08472259591395</v>
      </c>
      <c r="AD7" s="9"/>
      <c r="AE7" s="9"/>
      <c r="AF7" s="9"/>
      <c r="AG7" s="9"/>
      <c r="AH7" s="9"/>
      <c r="AI7" s="9">
        <f t="shared" si="13"/>
        <v>-122.06782976224328</v>
      </c>
      <c r="AJ7" s="9">
        <f t="shared" si="14"/>
        <v>-587.30454930137387</v>
      </c>
      <c r="AK7" s="9">
        <f t="shared" si="15"/>
        <v>-89</v>
      </c>
      <c r="AL7" s="9">
        <f t="shared" si="36"/>
        <v>-1.5533430342749532</v>
      </c>
      <c r="AM7" s="9">
        <f t="shared" si="37"/>
        <v>14.381481000579178</v>
      </c>
      <c r="AN7" s="9">
        <f t="shared" si="38"/>
        <v>-823.91449471667272</v>
      </c>
      <c r="AO7" s="9">
        <f t="shared" si="16"/>
        <v>-574.00726497289793</v>
      </c>
      <c r="AP7" s="9">
        <f t="shared" si="17"/>
        <v>-1340.8936114468147</v>
      </c>
      <c r="AQ7" s="9">
        <f t="shared" si="18"/>
        <v>88.784408832861118</v>
      </c>
      <c r="AR7" s="9">
        <f t="shared" si="39"/>
        <v>1.5495802585701623</v>
      </c>
      <c r="AS7" s="9">
        <f t="shared" si="19"/>
        <v>26.518095782041332</v>
      </c>
      <c r="AT7" s="9">
        <f t="shared" si="20"/>
        <v>1249.7186845830922</v>
      </c>
      <c r="AU7" s="9">
        <v>0</v>
      </c>
      <c r="AV7" s="9">
        <f t="shared" si="40"/>
        <v>473.9989717263083</v>
      </c>
      <c r="AW7" s="9">
        <f t="shared" si="41"/>
        <v>-14.381481000579178</v>
      </c>
      <c r="AX7" s="9">
        <f t="shared" si="42"/>
        <v>349.91552299036442</v>
      </c>
      <c r="AY7" s="9">
        <v>0</v>
      </c>
      <c r="AZ7" s="9">
        <f t="shared" si="43"/>
        <v>-2964.3028647878027</v>
      </c>
      <c r="BA7" s="9">
        <f t="shared" si="44"/>
        <v>-26.518095782041332</v>
      </c>
      <c r="BB7" s="9">
        <f t="shared" si="45"/>
        <v>1714.5841802047105</v>
      </c>
      <c r="BC7" s="9">
        <f t="shared" si="21"/>
        <v>0</v>
      </c>
      <c r="BD7" s="9">
        <f t="shared" si="21"/>
        <v>0</v>
      </c>
      <c r="BE7" s="9">
        <f t="shared" si="22"/>
        <v>-40.899576782620514</v>
      </c>
      <c r="BF7" s="9">
        <f t="shared" si="23"/>
        <v>2064.4997031950747</v>
      </c>
      <c r="BG7" s="9">
        <f t="shared" si="24"/>
        <v>0</v>
      </c>
      <c r="BH7" s="9">
        <f t="shared" si="25"/>
        <v>-2490.3038930614944</v>
      </c>
      <c r="BI7" s="9">
        <f t="shared" si="46"/>
        <v>2064.9047919634331</v>
      </c>
      <c r="BJ7" s="9">
        <f t="shared" si="47"/>
        <v>2490.3038930614944</v>
      </c>
      <c r="BK7" s="9">
        <f t="shared" si="26"/>
        <v>41.079975581890274</v>
      </c>
      <c r="BL7" s="9">
        <f t="shared" si="27"/>
        <v>49.543021797715944</v>
      </c>
      <c r="BM7" s="9">
        <f t="shared" si="28"/>
        <v>17.039932231814387</v>
      </c>
      <c r="BN7" s="9">
        <f t="shared" si="29"/>
        <v>14.129134126256943</v>
      </c>
      <c r="BO7" s="9"/>
      <c r="BP7" s="11"/>
      <c r="BQ7" s="8"/>
    </row>
    <row r="8" spans="2:69" x14ac:dyDescent="0.25">
      <c r="B8" s="1">
        <v>4</v>
      </c>
      <c r="C8" s="50" t="s">
        <v>2</v>
      </c>
      <c r="D8" s="51">
        <v>2</v>
      </c>
      <c r="E8" s="8"/>
      <c r="F8" s="8"/>
      <c r="G8" s="9">
        <f t="shared" si="0"/>
        <v>0</v>
      </c>
      <c r="H8" s="9">
        <f t="shared" si="1"/>
        <v>0</v>
      </c>
      <c r="I8" s="9">
        <f t="shared" si="2"/>
        <v>-230</v>
      </c>
      <c r="J8" s="9">
        <f t="shared" si="3"/>
        <v>0</v>
      </c>
      <c r="K8" s="9">
        <f t="shared" si="4"/>
        <v>0</v>
      </c>
      <c r="L8" s="9">
        <f t="shared" si="5"/>
        <v>-286</v>
      </c>
      <c r="M8" s="9">
        <f t="shared" si="6"/>
        <v>-99</v>
      </c>
      <c r="N8" s="9">
        <f t="shared" si="7"/>
        <v>-166.8</v>
      </c>
      <c r="O8" s="9">
        <f t="shared" si="8"/>
        <v>42</v>
      </c>
      <c r="P8" s="9">
        <f t="shared" si="48"/>
        <v>-3</v>
      </c>
      <c r="Q8" s="9">
        <f t="shared" si="9"/>
        <v>618.03000000000009</v>
      </c>
      <c r="R8" s="9">
        <f t="shared" si="30"/>
        <v>-107.59396144202583</v>
      </c>
      <c r="S8" s="9">
        <f t="shared" si="10"/>
        <v>-161.39014672901149</v>
      </c>
      <c r="T8" s="9">
        <f t="shared" si="31"/>
        <v>-14.968083485481937</v>
      </c>
      <c r="U8" s="9">
        <f t="shared" si="32"/>
        <v>-285.6080469398081</v>
      </c>
      <c r="V8" s="9">
        <f t="shared" si="33"/>
        <v>-229.68479299355198</v>
      </c>
      <c r="W8" s="9">
        <f t="shared" si="34"/>
        <v>12.037269935877083</v>
      </c>
      <c r="X8" s="9">
        <f t="shared" si="35"/>
        <v>-4.9913882410630848</v>
      </c>
      <c r="Y8" s="9">
        <f t="shared" si="35"/>
        <v>-857.9564408147279</v>
      </c>
      <c r="Z8" s="9">
        <f t="shared" si="11"/>
        <v>-112.58534968308891</v>
      </c>
      <c r="AA8" s="9">
        <f t="shared" si="12"/>
        <v>-1019.3465875437394</v>
      </c>
      <c r="AB8" s="9">
        <f>IF(O8=0,0,SUMPRODUCT(Z8:$Z$22, O8:$O$22)/SUM(O8:$O$22)-X8)</f>
        <v>-137.44210527072289</v>
      </c>
      <c r="AC8" s="9">
        <f>IF(O8=0,0,SUMPRODUCT($AA8:$AA$22, $O8:$O$22)/SUM($O8:O$22)-Y8)</f>
        <v>-439.14092020822557</v>
      </c>
      <c r="AD8" s="9"/>
      <c r="AE8" s="9"/>
      <c r="AF8" s="9"/>
      <c r="AG8" s="9"/>
      <c r="AH8" s="9"/>
      <c r="AI8" s="9">
        <f t="shared" si="13"/>
        <v>-114.27088565768736</v>
      </c>
      <c r="AJ8" s="9">
        <f t="shared" si="14"/>
        <v>-445.73225684662236</v>
      </c>
      <c r="AK8" s="9">
        <f t="shared" si="15"/>
        <v>-87</v>
      </c>
      <c r="AL8" s="9">
        <f t="shared" si="36"/>
        <v>-1.5184364492350666</v>
      </c>
      <c r="AM8" s="9">
        <f t="shared" si="37"/>
        <v>32.345191036826662</v>
      </c>
      <c r="AN8" s="9">
        <f t="shared" si="38"/>
        <v>-617.18301136436935</v>
      </c>
      <c r="AO8" s="9">
        <f t="shared" si="16"/>
        <v>-569.01587673183485</v>
      </c>
      <c r="AP8" s="9">
        <f t="shared" si="17"/>
        <v>-1054.9371706320867</v>
      </c>
      <c r="AQ8" s="9">
        <f t="shared" si="18"/>
        <v>90.784408832861118</v>
      </c>
      <c r="AR8" s="9">
        <f t="shared" si="39"/>
        <v>1.584486843610049</v>
      </c>
      <c r="AS8" s="9">
        <f t="shared" si="19"/>
        <v>-17.11261143707566</v>
      </c>
      <c r="AT8" s="9">
        <f t="shared" si="20"/>
        <v>1249.8828579230149</v>
      </c>
      <c r="AU8" s="9">
        <v>0</v>
      </c>
      <c r="AV8" s="9">
        <f t="shared" si="40"/>
        <v>369.31888834984744</v>
      </c>
      <c r="AW8" s="9">
        <f t="shared" si="41"/>
        <v>-32.345191036826662</v>
      </c>
      <c r="AX8" s="9">
        <f t="shared" si="42"/>
        <v>247.86412301452191</v>
      </c>
      <c r="AY8" s="9">
        <v>0</v>
      </c>
      <c r="AZ8" s="9">
        <f t="shared" si="43"/>
        <v>-3170.6779134987419</v>
      </c>
      <c r="BA8" s="9">
        <f t="shared" si="44"/>
        <v>17.11261143707566</v>
      </c>
      <c r="BB8" s="9">
        <f t="shared" si="45"/>
        <v>1920.795055575727</v>
      </c>
      <c r="BC8" s="9">
        <f t="shared" si="21"/>
        <v>0</v>
      </c>
      <c r="BD8" s="9">
        <f t="shared" si="21"/>
        <v>0</v>
      </c>
      <c r="BE8" s="9">
        <f t="shared" si="22"/>
        <v>-15.232579599751002</v>
      </c>
      <c r="BF8" s="9">
        <f t="shared" si="23"/>
        <v>2168.6591785902488</v>
      </c>
      <c r="BG8" s="9">
        <f t="shared" si="24"/>
        <v>0</v>
      </c>
      <c r="BH8" s="9">
        <f t="shared" si="25"/>
        <v>-2801.3590251488945</v>
      </c>
      <c r="BI8" s="9">
        <f t="shared" si="46"/>
        <v>2168.712674460357</v>
      </c>
      <c r="BJ8" s="9">
        <f t="shared" si="47"/>
        <v>2801.3590251488945</v>
      </c>
      <c r="BK8" s="9">
        <f t="shared" si="26"/>
        <v>43.145167785801284</v>
      </c>
      <c r="BL8" s="9">
        <f t="shared" si="27"/>
        <v>55.731267028442467</v>
      </c>
      <c r="BM8" s="9">
        <f t="shared" si="28"/>
        <v>16.22429662286223</v>
      </c>
      <c r="BN8" s="9">
        <f t="shared" si="29"/>
        <v>12.560274282706597</v>
      </c>
      <c r="BO8" s="9"/>
      <c r="BP8" s="9"/>
      <c r="BQ8" s="8"/>
    </row>
    <row r="9" spans="2:69" x14ac:dyDescent="0.25">
      <c r="B9" s="1">
        <v>5</v>
      </c>
      <c r="C9" s="50" t="s">
        <v>2</v>
      </c>
      <c r="D9" s="51">
        <v>3</v>
      </c>
      <c r="E9" s="8"/>
      <c r="F9" s="8"/>
      <c r="G9" s="9">
        <f t="shared" si="0"/>
        <v>0</v>
      </c>
      <c r="H9" s="9">
        <f t="shared" si="1"/>
        <v>0</v>
      </c>
      <c r="I9" s="9">
        <f t="shared" si="2"/>
        <v>-230</v>
      </c>
      <c r="J9" s="9">
        <f t="shared" si="3"/>
        <v>0</v>
      </c>
      <c r="K9" s="9">
        <f t="shared" si="4"/>
        <v>0</v>
      </c>
      <c r="L9" s="9">
        <f t="shared" si="5"/>
        <v>-286</v>
      </c>
      <c r="M9" s="9">
        <f t="shared" si="6"/>
        <v>-99</v>
      </c>
      <c r="N9" s="9">
        <f t="shared" si="7"/>
        <v>-166.8</v>
      </c>
      <c r="O9" s="9">
        <f t="shared" si="8"/>
        <v>42</v>
      </c>
      <c r="P9" s="9">
        <f t="shared" si="48"/>
        <v>-6</v>
      </c>
      <c r="Q9" s="9">
        <f t="shared" si="9"/>
        <v>412.02000000000004</v>
      </c>
      <c r="R9" s="9">
        <f t="shared" si="30"/>
        <v>-115.89301531450366</v>
      </c>
      <c r="S9" s="9">
        <f t="shared" si="10"/>
        <v>-155.5379342839303</v>
      </c>
      <c r="T9" s="9">
        <f t="shared" si="31"/>
        <v>-29.895140494548894</v>
      </c>
      <c r="U9" s="9">
        <f t="shared" si="32"/>
        <v>-284.43326207532618</v>
      </c>
      <c r="V9" s="9">
        <f t="shared" si="33"/>
        <v>-228.74003593470286</v>
      </c>
      <c r="W9" s="9">
        <f t="shared" si="34"/>
        <v>24.041546551560298</v>
      </c>
      <c r="X9" s="9">
        <f t="shared" si="35"/>
        <v>-19.959471726545022</v>
      </c>
      <c r="Y9" s="9">
        <f t="shared" si="35"/>
        <v>-1143.564487754536</v>
      </c>
      <c r="Z9" s="9">
        <f t="shared" si="11"/>
        <v>-135.85248704104868</v>
      </c>
      <c r="AA9" s="9">
        <f t="shared" si="12"/>
        <v>-1299.1024220384663</v>
      </c>
      <c r="AB9" s="9">
        <f>IF(O9=0,0,SUMPRODUCT(Z9:$Z$22, O9:$O$22)/SUM(O9:$O$22)-X9)</f>
        <v>-137.39809369958948</v>
      </c>
      <c r="AC9" s="9">
        <f>IF(O9=0,0,SUMPRODUCT($AA9:$AA$22, $O9:$O$22)/SUM($O9:O$22)-Y9)</f>
        <v>-292.40826000802463</v>
      </c>
      <c r="AD9" s="9"/>
      <c r="AE9" s="9"/>
      <c r="AF9" s="9"/>
      <c r="AG9" s="9"/>
      <c r="AH9" s="9"/>
      <c r="AI9" s="9">
        <f t="shared" si="13"/>
        <v>-106.08042650069608</v>
      </c>
      <c r="AJ9" s="9">
        <f t="shared" si="14"/>
        <v>-305.16842855484271</v>
      </c>
      <c r="AK9" s="9">
        <f t="shared" si="15"/>
        <v>-84</v>
      </c>
      <c r="AL9" s="9">
        <f t="shared" si="36"/>
        <v>-1.4660765716752369</v>
      </c>
      <c r="AM9" s="9">
        <f t="shared" si="37"/>
        <v>43.067817435538579</v>
      </c>
      <c r="AN9" s="9">
        <f t="shared" si="38"/>
        <v>-409.76291132963598</v>
      </c>
      <c r="AO9" s="9">
        <f t="shared" si="16"/>
        <v>-554.04779324635285</v>
      </c>
      <c r="AP9" s="9">
        <f t="shared" si="17"/>
        <v>-769.3291236922787</v>
      </c>
      <c r="AQ9" s="9">
        <f t="shared" si="18"/>
        <v>93.784408832861118</v>
      </c>
      <c r="AR9" s="9">
        <f t="shared" si="39"/>
        <v>1.6368467211698789</v>
      </c>
      <c r="AS9" s="9">
        <f t="shared" si="19"/>
        <v>-82.502973758907245</v>
      </c>
      <c r="AT9" s="9">
        <f t="shared" si="20"/>
        <v>1247.2743320220043</v>
      </c>
      <c r="AU9" s="9">
        <v>0</v>
      </c>
      <c r="AV9" s="9">
        <f t="shared" si="40"/>
        <v>246.13375028741243</v>
      </c>
      <c r="AW9" s="9">
        <f t="shared" si="41"/>
        <v>-43.067817435538579</v>
      </c>
      <c r="AX9" s="9">
        <f t="shared" si="42"/>
        <v>163.62916104222356</v>
      </c>
      <c r="AY9" s="9">
        <v>0</v>
      </c>
      <c r="AZ9" s="9">
        <f t="shared" si="43"/>
        <v>-3280.528398841554</v>
      </c>
      <c r="BA9" s="9">
        <f t="shared" si="44"/>
        <v>82.502973758907245</v>
      </c>
      <c r="BB9" s="9">
        <f t="shared" si="45"/>
        <v>2033.2540668195497</v>
      </c>
      <c r="BC9" s="9">
        <f t="shared" si="21"/>
        <v>0</v>
      </c>
      <c r="BD9" s="9">
        <f t="shared" si="21"/>
        <v>0</v>
      </c>
      <c r="BE9" s="9">
        <f t="shared" si="22"/>
        <v>39.435156323368666</v>
      </c>
      <c r="BF9" s="9">
        <f t="shared" si="23"/>
        <v>2196.8832278617733</v>
      </c>
      <c r="BG9" s="9">
        <f t="shared" si="24"/>
        <v>0</v>
      </c>
      <c r="BH9" s="9">
        <f t="shared" si="25"/>
        <v>-3034.3946485541414</v>
      </c>
      <c r="BI9" s="9">
        <f t="shared" si="46"/>
        <v>2197.2371397768184</v>
      </c>
      <c r="BJ9" s="9">
        <f t="shared" si="47"/>
        <v>3034.3946485541414</v>
      </c>
      <c r="BK9" s="9">
        <f t="shared" si="26"/>
        <v>43.712643992572303</v>
      </c>
      <c r="BL9" s="9">
        <f t="shared" si="27"/>
        <v>60.367363451123268</v>
      </c>
      <c r="BM9" s="9">
        <f t="shared" si="28"/>
        <v>16.013673300543083</v>
      </c>
      <c r="BN9" s="9">
        <f t="shared" si="29"/>
        <v>11.595669580082927</v>
      </c>
      <c r="BO9" s="9"/>
      <c r="BP9" s="8"/>
      <c r="BQ9" s="8"/>
    </row>
    <row r="10" spans="2:69" x14ac:dyDescent="0.25">
      <c r="B10" s="1">
        <v>6</v>
      </c>
      <c r="C10" s="50" t="s">
        <v>2</v>
      </c>
      <c r="D10" s="51">
        <v>5</v>
      </c>
      <c r="E10" s="8"/>
      <c r="F10" s="8"/>
      <c r="G10" s="9">
        <f t="shared" si="0"/>
        <v>0</v>
      </c>
      <c r="H10" s="9">
        <f t="shared" si="1"/>
        <v>0</v>
      </c>
      <c r="I10" s="9">
        <f t="shared" si="2"/>
        <v>-230</v>
      </c>
      <c r="J10" s="9">
        <f t="shared" si="3"/>
        <v>0</v>
      </c>
      <c r="K10" s="9">
        <f t="shared" si="4"/>
        <v>0</v>
      </c>
      <c r="L10" s="9">
        <f t="shared" si="5"/>
        <v>-286</v>
      </c>
      <c r="M10" s="9">
        <f t="shared" si="6"/>
        <v>-99</v>
      </c>
      <c r="N10" s="9">
        <f t="shared" si="7"/>
        <v>-166.8</v>
      </c>
      <c r="O10" s="9">
        <f t="shared" si="8"/>
        <v>42</v>
      </c>
      <c r="P10" s="9">
        <f t="shared" si="48"/>
        <v>-11</v>
      </c>
      <c r="Q10" s="9">
        <f t="shared" si="9"/>
        <v>206.01000000000002</v>
      </c>
      <c r="R10" s="9">
        <f t="shared" si="30"/>
        <v>-129.00803159012639</v>
      </c>
      <c r="S10" s="9">
        <f t="shared" si="10"/>
        <v>-144.84532365679243</v>
      </c>
      <c r="T10" s="9">
        <f t="shared" si="31"/>
        <v>-54.571372677691812</v>
      </c>
      <c r="U10" s="9">
        <f t="shared" si="32"/>
        <v>-280.74537446603188</v>
      </c>
      <c r="V10" s="9">
        <f t="shared" si="33"/>
        <v>-225.77425219296271</v>
      </c>
      <c r="W10" s="9">
        <f t="shared" si="34"/>
        <v>43.886068936605305</v>
      </c>
      <c r="X10" s="9">
        <f t="shared" si="35"/>
        <v>-49.854612221093916</v>
      </c>
      <c r="Y10" s="9">
        <f t="shared" si="35"/>
        <v>-1427.9977498298622</v>
      </c>
      <c r="Z10" s="9">
        <f t="shared" si="11"/>
        <v>-178.86264381122032</v>
      </c>
      <c r="AA10" s="9">
        <f t="shared" si="12"/>
        <v>-1572.8430734866547</v>
      </c>
      <c r="AB10" s="9">
        <f>IF(O10=0,0,SUMPRODUCT(Z10:$Z$22, O10:$O$22)/SUM(O10:$O$22)-X10)</f>
        <v>-129.00803159012639</v>
      </c>
      <c r="AC10" s="9">
        <f>IF(O10=0,0,SUMPRODUCT($AA10:$AA$22, $O10:$O$22)/SUM($O10:O$22)-Y10)</f>
        <v>-144.84532365679252</v>
      </c>
      <c r="AD10" s="9"/>
      <c r="AE10" s="9"/>
      <c r="AF10" s="9"/>
      <c r="AG10" s="9"/>
      <c r="AH10" s="9"/>
      <c r="AI10" s="9">
        <f t="shared" si="13"/>
        <v>-98.999999999999972</v>
      </c>
      <c r="AJ10" s="9">
        <f t="shared" si="14"/>
        <v>-166.8000000000001</v>
      </c>
      <c r="AK10" s="9">
        <f t="shared" si="15"/>
        <v>-79</v>
      </c>
      <c r="AL10" s="9">
        <f t="shared" si="36"/>
        <v>-1.3788101090755203</v>
      </c>
      <c r="AM10" s="9">
        <f t="shared" si="37"/>
        <v>39.30856113752202</v>
      </c>
      <c r="AN10" s="9">
        <f t="shared" si="38"/>
        <v>-202.22501606205327</v>
      </c>
      <c r="AO10" s="9">
        <f t="shared" si="16"/>
        <v>-524.152652751804</v>
      </c>
      <c r="AP10" s="9">
        <f t="shared" si="17"/>
        <v>-484.89586161695252</v>
      </c>
      <c r="AQ10" s="9">
        <f t="shared" si="18"/>
        <v>98.784408832861118</v>
      </c>
      <c r="AR10" s="9">
        <f t="shared" si="39"/>
        <v>1.7241131837695953</v>
      </c>
      <c r="AS10" s="9">
        <f t="shared" si="19"/>
        <v>-190.89614585289269</v>
      </c>
      <c r="AT10" s="9">
        <f t="shared" si="20"/>
        <v>1235.337468669396</v>
      </c>
      <c r="AU10" s="9">
        <v>0</v>
      </c>
      <c r="AV10" s="9">
        <f t="shared" si="40"/>
        <v>115.55193299079107</v>
      </c>
      <c r="AW10" s="9">
        <f t="shared" si="41"/>
        <v>-39.30856113752202</v>
      </c>
      <c r="AX10" s="9">
        <f t="shared" si="42"/>
        <v>86.673083071262198</v>
      </c>
      <c r="AY10" s="9">
        <v>0</v>
      </c>
      <c r="AZ10" s="9">
        <f t="shared" si="43"/>
        <v>-3217.6963581280711</v>
      </c>
      <c r="BA10" s="9">
        <f t="shared" si="44"/>
        <v>190.89614585289269</v>
      </c>
      <c r="BB10" s="9">
        <f t="shared" si="45"/>
        <v>1982.3588894586751</v>
      </c>
      <c r="BC10" s="9">
        <f t="shared" si="21"/>
        <v>0</v>
      </c>
      <c r="BD10" s="9">
        <f t="shared" si="21"/>
        <v>0</v>
      </c>
      <c r="BE10" s="9">
        <f t="shared" si="22"/>
        <v>151.58758471537067</v>
      </c>
      <c r="BF10" s="9">
        <f t="shared" si="23"/>
        <v>2069.0319725299373</v>
      </c>
      <c r="BG10" s="9">
        <f t="shared" si="24"/>
        <v>0</v>
      </c>
      <c r="BH10" s="9">
        <f t="shared" si="25"/>
        <v>-3102.14442513728</v>
      </c>
      <c r="BI10" s="9">
        <f t="shared" si="46"/>
        <v>2074.5775712638374</v>
      </c>
      <c r="BJ10" s="9">
        <f t="shared" si="47"/>
        <v>3102.14442513728</v>
      </c>
      <c r="BK10" s="9">
        <f t="shared" si="26"/>
        <v>41.272409411777311</v>
      </c>
      <c r="BL10" s="9">
        <f t="shared" si="27"/>
        <v>61.715202430695527</v>
      </c>
      <c r="BM10" s="9">
        <f t="shared" si="28"/>
        <v>16.960483043673509</v>
      </c>
      <c r="BN10" s="9">
        <f t="shared" si="29"/>
        <v>11.342424109944073</v>
      </c>
      <c r="BO10" s="9"/>
      <c r="BP10" s="8"/>
      <c r="BQ10" s="8"/>
    </row>
    <row r="11" spans="2:69" x14ac:dyDescent="0.25">
      <c r="B11" s="1">
        <v>7</v>
      </c>
      <c r="C11" s="50" t="s">
        <v>4</v>
      </c>
      <c r="D11" s="51">
        <v>0</v>
      </c>
      <c r="E11" s="8"/>
      <c r="F11" s="8"/>
      <c r="G11" s="9">
        <f t="shared" si="0"/>
        <v>0</v>
      </c>
      <c r="H11" s="9">
        <f t="shared" si="1"/>
        <v>0</v>
      </c>
      <c r="I11" s="9">
        <f t="shared" si="2"/>
        <v>-1</v>
      </c>
      <c r="J11" s="9">
        <f t="shared" si="3"/>
        <v>0</v>
      </c>
      <c r="K11" s="9">
        <f t="shared" si="4"/>
        <v>0</v>
      </c>
      <c r="L11" s="9">
        <f t="shared" si="5"/>
        <v>0</v>
      </c>
      <c r="M11" s="9">
        <f t="shared" si="6"/>
        <v>0</v>
      </c>
      <c r="N11" s="9">
        <f t="shared" si="7"/>
        <v>0</v>
      </c>
      <c r="O11" s="9">
        <f t="shared" si="8"/>
        <v>0</v>
      </c>
      <c r="P11" s="9">
        <f t="shared" si="48"/>
        <v>-11</v>
      </c>
      <c r="Q11" s="9">
        <f t="shared" si="9"/>
        <v>0</v>
      </c>
      <c r="R11" s="9">
        <f t="shared" si="30"/>
        <v>0</v>
      </c>
      <c r="S11" s="9">
        <f t="shared" si="10"/>
        <v>0</v>
      </c>
      <c r="T11" s="9">
        <f t="shared" si="31"/>
        <v>0</v>
      </c>
      <c r="U11" s="9">
        <f t="shared" si="32"/>
        <v>0</v>
      </c>
      <c r="V11" s="9">
        <f t="shared" si="33"/>
        <v>-0.98162718344766398</v>
      </c>
      <c r="W11" s="9">
        <f t="shared" si="34"/>
        <v>0.1908089953765448</v>
      </c>
      <c r="X11" s="9">
        <f t="shared" si="35"/>
        <v>-104.42598489878573</v>
      </c>
      <c r="Y11" s="9">
        <f t="shared" si="35"/>
        <v>-1708.7431242958942</v>
      </c>
      <c r="Z11" s="9">
        <f t="shared" si="11"/>
        <v>-104.42598489878573</v>
      </c>
      <c r="AA11" s="9">
        <f t="shared" si="12"/>
        <v>-1708.7431242958942</v>
      </c>
      <c r="AB11" s="9">
        <f>IF(O11=0,0,SUMPRODUCT(Z11:$Z$22, O11:$O$22)/SUM(O11:$O$22)-X11)</f>
        <v>0</v>
      </c>
      <c r="AC11" s="9">
        <f>IF(O11=0,0,SUMPRODUCT($AA11:$AA$22, $O11:$O$22)/SUM($O11:O$22)-Y11)</f>
        <v>0</v>
      </c>
      <c r="AD11" s="9"/>
      <c r="AE11" s="9"/>
      <c r="AF11" s="9"/>
      <c r="AG11" s="9"/>
      <c r="AH11" s="9"/>
      <c r="AI11" s="9">
        <f t="shared" si="13"/>
        <v>0</v>
      </c>
      <c r="AJ11" s="9">
        <f t="shared" si="14"/>
        <v>0</v>
      </c>
      <c r="AK11" s="9">
        <f t="shared" si="15"/>
        <v>-79</v>
      </c>
      <c r="AL11" s="9">
        <f t="shared" si="36"/>
        <v>-1.3788101090755203</v>
      </c>
      <c r="AM11" s="9">
        <f t="shared" si="37"/>
        <v>0</v>
      </c>
      <c r="AN11" s="9">
        <f t="shared" si="38"/>
        <v>0</v>
      </c>
      <c r="AO11" s="9">
        <f t="shared" si="16"/>
        <v>-469.58128007411221</v>
      </c>
      <c r="AP11" s="9">
        <f t="shared" si="17"/>
        <v>-204.15048715092053</v>
      </c>
      <c r="AQ11" s="9">
        <f t="shared" si="18"/>
        <v>98.784408832861118</v>
      </c>
      <c r="AR11" s="9">
        <f t="shared" si="39"/>
        <v>1.7241131837695953</v>
      </c>
      <c r="AS11" s="9">
        <f t="shared" si="19"/>
        <v>0</v>
      </c>
      <c r="AT11" s="9">
        <f t="shared" si="20"/>
        <v>0</v>
      </c>
      <c r="AU11" s="9">
        <v>0</v>
      </c>
      <c r="AV11" s="9">
        <f t="shared" si="40"/>
        <v>0</v>
      </c>
      <c r="AW11" s="9">
        <f t="shared" si="41"/>
        <v>0</v>
      </c>
      <c r="AX11" s="9">
        <f t="shared" si="42"/>
        <v>0</v>
      </c>
      <c r="AY11" s="9">
        <v>0</v>
      </c>
      <c r="AZ11" s="9">
        <f t="shared" si="43"/>
        <v>0</v>
      </c>
      <c r="BA11" s="9">
        <f t="shared" si="44"/>
        <v>0</v>
      </c>
      <c r="BB11" s="9">
        <f t="shared" si="45"/>
        <v>0</v>
      </c>
      <c r="BC11" s="9">
        <f t="shared" si="21"/>
        <v>0</v>
      </c>
      <c r="BD11" s="9">
        <f t="shared" si="21"/>
        <v>0</v>
      </c>
      <c r="BE11" s="9">
        <f t="shared" si="22"/>
        <v>0</v>
      </c>
      <c r="BF11" s="9">
        <f t="shared" si="23"/>
        <v>0</v>
      </c>
      <c r="BG11" s="9">
        <f t="shared" si="24"/>
        <v>0</v>
      </c>
      <c r="BH11" s="9">
        <f t="shared" si="25"/>
        <v>0</v>
      </c>
      <c r="BI11" s="9">
        <f t="shared" si="46"/>
        <v>0</v>
      </c>
      <c r="BJ11" s="9">
        <f t="shared" si="47"/>
        <v>0</v>
      </c>
      <c r="BK11" s="9">
        <f t="shared" si="26"/>
        <v>0</v>
      </c>
      <c r="BL11" s="9">
        <f t="shared" si="27"/>
        <v>0</v>
      </c>
      <c r="BM11" s="9">
        <f t="shared" si="28"/>
        <v>10000</v>
      </c>
      <c r="BN11" s="9">
        <f t="shared" si="29"/>
        <v>10000</v>
      </c>
      <c r="BO11" s="9"/>
      <c r="BP11" s="8"/>
      <c r="BQ11" s="8"/>
    </row>
    <row r="12" spans="2:69" x14ac:dyDescent="0.25">
      <c r="B12" s="1">
        <v>8</v>
      </c>
      <c r="C12" s="50" t="s">
        <v>4</v>
      </c>
      <c r="D12" s="51">
        <v>0</v>
      </c>
      <c r="E12" s="8"/>
      <c r="F12" s="8"/>
      <c r="G12" s="9">
        <f t="shared" si="0"/>
        <v>0</v>
      </c>
      <c r="H12" s="9">
        <f t="shared" si="1"/>
        <v>0</v>
      </c>
      <c r="I12" s="9">
        <f t="shared" si="2"/>
        <v>-1</v>
      </c>
      <c r="J12" s="9">
        <f t="shared" si="3"/>
        <v>0</v>
      </c>
      <c r="K12" s="9">
        <f t="shared" si="4"/>
        <v>0</v>
      </c>
      <c r="L12" s="9">
        <f t="shared" si="5"/>
        <v>0</v>
      </c>
      <c r="M12" s="9">
        <f t="shared" si="6"/>
        <v>0</v>
      </c>
      <c r="N12" s="9">
        <f t="shared" si="7"/>
        <v>0</v>
      </c>
      <c r="O12" s="9">
        <f t="shared" si="8"/>
        <v>0</v>
      </c>
      <c r="P12" s="9">
        <f t="shared" si="48"/>
        <v>-11</v>
      </c>
      <c r="Q12" s="9">
        <f t="shared" si="9"/>
        <v>0</v>
      </c>
      <c r="R12" s="9">
        <f t="shared" si="30"/>
        <v>0</v>
      </c>
      <c r="S12" s="9">
        <f t="shared" si="10"/>
        <v>0</v>
      </c>
      <c r="T12" s="9">
        <f t="shared" si="31"/>
        <v>0</v>
      </c>
      <c r="U12" s="9">
        <f t="shared" si="32"/>
        <v>0</v>
      </c>
      <c r="V12" s="9">
        <f t="shared" si="33"/>
        <v>-0.98162718344766398</v>
      </c>
      <c r="W12" s="9">
        <f t="shared" si="34"/>
        <v>0.1908089953765448</v>
      </c>
      <c r="X12" s="9">
        <f t="shared" si="35"/>
        <v>-104.42598489878573</v>
      </c>
      <c r="Y12" s="9">
        <f t="shared" si="35"/>
        <v>-1708.7431242958942</v>
      </c>
      <c r="Z12" s="9">
        <f t="shared" si="11"/>
        <v>-104.42598489878573</v>
      </c>
      <c r="AA12" s="9">
        <f t="shared" si="12"/>
        <v>-1708.7431242958942</v>
      </c>
      <c r="AB12" s="9">
        <f>IF(O12=0,0,SUMPRODUCT(Z12:$Z$22, O12:$O$22)/SUM(O12:$O$22)-X12)</f>
        <v>0</v>
      </c>
      <c r="AC12" s="9">
        <f>IF(O12=0,0,SUMPRODUCT($AA12:$AA$22, $O12:$O$22)/SUM($O12:O$22)-Y12)</f>
        <v>0</v>
      </c>
      <c r="AD12" s="9"/>
      <c r="AE12" s="9"/>
      <c r="AF12" s="9"/>
      <c r="AG12" s="9"/>
      <c r="AH12" s="9"/>
      <c r="AI12" s="9">
        <f t="shared" si="13"/>
        <v>0</v>
      </c>
      <c r="AJ12" s="9">
        <f t="shared" si="14"/>
        <v>0</v>
      </c>
      <c r="AK12" s="9">
        <f t="shared" si="15"/>
        <v>-79</v>
      </c>
      <c r="AL12" s="9">
        <f t="shared" si="36"/>
        <v>-1.3788101090755203</v>
      </c>
      <c r="AM12" s="9">
        <f t="shared" si="37"/>
        <v>0</v>
      </c>
      <c r="AN12" s="9">
        <f t="shared" si="38"/>
        <v>0</v>
      </c>
      <c r="AO12" s="9">
        <f t="shared" si="16"/>
        <v>-469.58128007411221</v>
      </c>
      <c r="AP12" s="9">
        <f t="shared" si="17"/>
        <v>-204.15048715092053</v>
      </c>
      <c r="AQ12" s="9">
        <f t="shared" si="18"/>
        <v>98.784408832861118</v>
      </c>
      <c r="AR12" s="9">
        <f t="shared" si="39"/>
        <v>1.7241131837695953</v>
      </c>
      <c r="AS12" s="9">
        <f t="shared" si="19"/>
        <v>0</v>
      </c>
      <c r="AT12" s="9">
        <f t="shared" si="20"/>
        <v>0</v>
      </c>
      <c r="AU12" s="9">
        <v>0</v>
      </c>
      <c r="AV12" s="9">
        <f t="shared" si="40"/>
        <v>0</v>
      </c>
      <c r="AW12" s="9">
        <f t="shared" si="41"/>
        <v>0</v>
      </c>
      <c r="AX12" s="9">
        <f t="shared" si="42"/>
        <v>0</v>
      </c>
      <c r="AY12" s="9">
        <v>0</v>
      </c>
      <c r="AZ12" s="9">
        <f t="shared" si="43"/>
        <v>0</v>
      </c>
      <c r="BA12" s="9">
        <f t="shared" si="44"/>
        <v>0</v>
      </c>
      <c r="BB12" s="9">
        <f t="shared" si="45"/>
        <v>0</v>
      </c>
      <c r="BC12" s="9">
        <f t="shared" si="21"/>
        <v>0</v>
      </c>
      <c r="BD12" s="9">
        <f t="shared" si="21"/>
        <v>0</v>
      </c>
      <c r="BE12" s="9">
        <f t="shared" si="22"/>
        <v>0</v>
      </c>
      <c r="BF12" s="9">
        <f t="shared" si="23"/>
        <v>0</v>
      </c>
      <c r="BG12" s="9">
        <f t="shared" si="24"/>
        <v>0</v>
      </c>
      <c r="BH12" s="9">
        <f t="shared" si="25"/>
        <v>0</v>
      </c>
      <c r="BI12" s="9">
        <f t="shared" si="46"/>
        <v>0</v>
      </c>
      <c r="BJ12" s="9">
        <f t="shared" si="47"/>
        <v>0</v>
      </c>
      <c r="BK12" s="9">
        <f t="shared" si="26"/>
        <v>0</v>
      </c>
      <c r="BL12" s="9">
        <f t="shared" si="27"/>
        <v>0</v>
      </c>
      <c r="BM12" s="9">
        <f t="shared" si="28"/>
        <v>10000</v>
      </c>
      <c r="BN12" s="9">
        <f t="shared" si="29"/>
        <v>10000</v>
      </c>
      <c r="BO12" s="9"/>
      <c r="BP12" s="8"/>
      <c r="BQ12" s="8"/>
    </row>
    <row r="13" spans="2:69" x14ac:dyDescent="0.25">
      <c r="B13" s="1">
        <v>9</v>
      </c>
      <c r="C13" s="50" t="s">
        <v>4</v>
      </c>
      <c r="D13" s="51">
        <v>0</v>
      </c>
      <c r="E13" s="8"/>
      <c r="F13" s="8"/>
      <c r="G13" s="9">
        <f t="shared" si="0"/>
        <v>0</v>
      </c>
      <c r="H13" s="9">
        <f t="shared" si="1"/>
        <v>0</v>
      </c>
      <c r="I13" s="9">
        <f t="shared" si="2"/>
        <v>-1</v>
      </c>
      <c r="J13" s="9">
        <f t="shared" si="3"/>
        <v>0</v>
      </c>
      <c r="K13" s="9">
        <f t="shared" si="4"/>
        <v>0</v>
      </c>
      <c r="L13" s="9">
        <f t="shared" si="5"/>
        <v>0</v>
      </c>
      <c r="M13" s="9">
        <f t="shared" si="6"/>
        <v>0</v>
      </c>
      <c r="N13" s="9">
        <f t="shared" si="7"/>
        <v>0</v>
      </c>
      <c r="O13" s="9">
        <f t="shared" si="8"/>
        <v>0</v>
      </c>
      <c r="P13" s="9">
        <f t="shared" si="48"/>
        <v>-11</v>
      </c>
      <c r="Q13" s="9">
        <f t="shared" si="9"/>
        <v>0</v>
      </c>
      <c r="R13" s="9">
        <f t="shared" si="30"/>
        <v>0</v>
      </c>
      <c r="S13" s="9">
        <f t="shared" si="10"/>
        <v>0</v>
      </c>
      <c r="T13" s="9">
        <f t="shared" si="31"/>
        <v>0</v>
      </c>
      <c r="U13" s="9">
        <f t="shared" si="32"/>
        <v>0</v>
      </c>
      <c r="V13" s="9">
        <f t="shared" si="33"/>
        <v>-0.98162718344766398</v>
      </c>
      <c r="W13" s="9">
        <f t="shared" si="34"/>
        <v>0.1908089953765448</v>
      </c>
      <c r="X13" s="9">
        <f t="shared" si="35"/>
        <v>-104.42598489878573</v>
      </c>
      <c r="Y13" s="9">
        <f t="shared" si="35"/>
        <v>-1708.7431242958942</v>
      </c>
      <c r="Z13" s="9">
        <f t="shared" si="11"/>
        <v>-104.42598489878573</v>
      </c>
      <c r="AA13" s="9">
        <f t="shared" si="12"/>
        <v>-1708.7431242958942</v>
      </c>
      <c r="AB13" s="9">
        <f>IF(O13=0,0,SUMPRODUCT(Z13:$Z$22, O13:$O$22)/SUM(O13:$O$22)-X13)</f>
        <v>0</v>
      </c>
      <c r="AC13" s="9">
        <f>IF(O13=0,0,SUMPRODUCT($AA13:$AA$22, $O13:$O$22)/SUM($O13:O$22)-Y13)</f>
        <v>0</v>
      </c>
      <c r="AD13" s="9"/>
      <c r="AE13" s="9"/>
      <c r="AF13" s="9"/>
      <c r="AG13" s="9"/>
      <c r="AH13" s="9"/>
      <c r="AI13" s="9">
        <f t="shared" si="13"/>
        <v>0</v>
      </c>
      <c r="AJ13" s="9">
        <f t="shared" si="14"/>
        <v>0</v>
      </c>
      <c r="AK13" s="9">
        <f t="shared" si="15"/>
        <v>-79</v>
      </c>
      <c r="AL13" s="9">
        <f t="shared" si="36"/>
        <v>-1.3788101090755203</v>
      </c>
      <c r="AM13" s="9">
        <f t="shared" si="37"/>
        <v>0</v>
      </c>
      <c r="AN13" s="9">
        <f t="shared" si="38"/>
        <v>0</v>
      </c>
      <c r="AO13" s="9">
        <f t="shared" si="16"/>
        <v>-469.58128007411221</v>
      </c>
      <c r="AP13" s="9">
        <f t="shared" si="17"/>
        <v>-204.15048715092053</v>
      </c>
      <c r="AQ13" s="9">
        <f t="shared" si="18"/>
        <v>98.784408832861118</v>
      </c>
      <c r="AR13" s="9">
        <f t="shared" si="39"/>
        <v>1.7241131837695953</v>
      </c>
      <c r="AS13" s="9">
        <f t="shared" si="19"/>
        <v>0</v>
      </c>
      <c r="AT13" s="9">
        <f t="shared" si="20"/>
        <v>0</v>
      </c>
      <c r="AU13" s="9">
        <v>0</v>
      </c>
      <c r="AV13" s="9">
        <f t="shared" si="40"/>
        <v>0</v>
      </c>
      <c r="AW13" s="9">
        <f t="shared" si="41"/>
        <v>0</v>
      </c>
      <c r="AX13" s="9">
        <f t="shared" si="42"/>
        <v>0</v>
      </c>
      <c r="AY13" s="9">
        <v>0</v>
      </c>
      <c r="AZ13" s="9">
        <f t="shared" si="43"/>
        <v>0</v>
      </c>
      <c r="BA13" s="9">
        <f t="shared" si="44"/>
        <v>0</v>
      </c>
      <c r="BB13" s="9">
        <f t="shared" si="45"/>
        <v>0</v>
      </c>
      <c r="BC13" s="9">
        <f t="shared" si="21"/>
        <v>0</v>
      </c>
      <c r="BD13" s="9">
        <f t="shared" si="21"/>
        <v>0</v>
      </c>
      <c r="BE13" s="9">
        <f t="shared" si="22"/>
        <v>0</v>
      </c>
      <c r="BF13" s="9">
        <f t="shared" si="23"/>
        <v>0</v>
      </c>
      <c r="BG13" s="9">
        <f t="shared" si="24"/>
        <v>0</v>
      </c>
      <c r="BH13" s="9">
        <f t="shared" si="25"/>
        <v>0</v>
      </c>
      <c r="BI13" s="9">
        <f t="shared" si="46"/>
        <v>0</v>
      </c>
      <c r="BJ13" s="9">
        <f t="shared" si="47"/>
        <v>0</v>
      </c>
      <c r="BK13" s="9">
        <f t="shared" si="26"/>
        <v>0</v>
      </c>
      <c r="BL13" s="9">
        <f t="shared" si="27"/>
        <v>0</v>
      </c>
      <c r="BM13" s="9">
        <f t="shared" si="28"/>
        <v>10000</v>
      </c>
      <c r="BN13" s="9">
        <f t="shared" si="29"/>
        <v>10000</v>
      </c>
      <c r="BO13" s="9"/>
      <c r="BP13" s="8"/>
      <c r="BQ13" s="8"/>
    </row>
    <row r="14" spans="2:69" x14ac:dyDescent="0.25">
      <c r="B14" s="1">
        <v>10</v>
      </c>
      <c r="C14" s="50" t="s">
        <v>4</v>
      </c>
      <c r="D14" s="51">
        <v>0</v>
      </c>
      <c r="E14" s="8"/>
      <c r="F14" s="8"/>
      <c r="G14" s="9">
        <f t="shared" si="0"/>
        <v>0</v>
      </c>
      <c r="H14" s="9">
        <f t="shared" si="1"/>
        <v>0</v>
      </c>
      <c r="I14" s="9">
        <f t="shared" si="2"/>
        <v>-1</v>
      </c>
      <c r="J14" s="9">
        <f t="shared" si="3"/>
        <v>0</v>
      </c>
      <c r="K14" s="9">
        <f t="shared" si="4"/>
        <v>0</v>
      </c>
      <c r="L14" s="9">
        <f t="shared" si="5"/>
        <v>0</v>
      </c>
      <c r="M14" s="9">
        <f t="shared" si="6"/>
        <v>0</v>
      </c>
      <c r="N14" s="9">
        <f t="shared" si="7"/>
        <v>0</v>
      </c>
      <c r="O14" s="9">
        <f t="shared" si="8"/>
        <v>0</v>
      </c>
      <c r="P14" s="9">
        <f t="shared" si="48"/>
        <v>-11</v>
      </c>
      <c r="Q14" s="9">
        <f t="shared" si="9"/>
        <v>0</v>
      </c>
      <c r="R14" s="9">
        <f t="shared" si="30"/>
        <v>0</v>
      </c>
      <c r="S14" s="9">
        <f t="shared" si="10"/>
        <v>0</v>
      </c>
      <c r="T14" s="9">
        <f t="shared" si="31"/>
        <v>0</v>
      </c>
      <c r="U14" s="9">
        <f t="shared" si="32"/>
        <v>0</v>
      </c>
      <c r="V14" s="9">
        <f t="shared" si="33"/>
        <v>-0.98162718344766398</v>
      </c>
      <c r="W14" s="9">
        <f t="shared" si="34"/>
        <v>0.1908089953765448</v>
      </c>
      <c r="X14" s="9">
        <f t="shared" si="35"/>
        <v>-104.42598489878573</v>
      </c>
      <c r="Y14" s="9">
        <f t="shared" si="35"/>
        <v>-1708.7431242958942</v>
      </c>
      <c r="Z14" s="9">
        <f t="shared" si="11"/>
        <v>-104.42598489878573</v>
      </c>
      <c r="AA14" s="9">
        <f t="shared" si="12"/>
        <v>-1708.7431242958942</v>
      </c>
      <c r="AB14" s="9">
        <f>IF(O14=0,0,SUMPRODUCT(Z14:$Z$22, O14:$O$22)/SUM(O14:$O$22)-X14)</f>
        <v>0</v>
      </c>
      <c r="AC14" s="9">
        <f>IF(O14=0,0,SUMPRODUCT($AA14:$AA$22, $O14:$O$22)/SUM($O14:O$22)-Y14)</f>
        <v>0</v>
      </c>
      <c r="AD14" s="9"/>
      <c r="AE14" s="9"/>
      <c r="AF14" s="9"/>
      <c r="AG14" s="9"/>
      <c r="AH14" s="9"/>
      <c r="AI14" s="9">
        <f t="shared" si="13"/>
        <v>0</v>
      </c>
      <c r="AJ14" s="9">
        <f t="shared" si="14"/>
        <v>0</v>
      </c>
      <c r="AK14" s="9">
        <f t="shared" si="15"/>
        <v>-79</v>
      </c>
      <c r="AL14" s="9">
        <f t="shared" si="36"/>
        <v>-1.3788101090755203</v>
      </c>
      <c r="AM14" s="9">
        <f t="shared" si="37"/>
        <v>0</v>
      </c>
      <c r="AN14" s="9">
        <f t="shared" si="38"/>
        <v>0</v>
      </c>
      <c r="AO14" s="9">
        <f t="shared" si="16"/>
        <v>-469.58128007411221</v>
      </c>
      <c r="AP14" s="9">
        <f t="shared" si="17"/>
        <v>-204.15048715092053</v>
      </c>
      <c r="AQ14" s="9">
        <f t="shared" si="18"/>
        <v>98.784408832861118</v>
      </c>
      <c r="AR14" s="9">
        <f t="shared" si="39"/>
        <v>1.7241131837695953</v>
      </c>
      <c r="AS14" s="9">
        <f t="shared" si="19"/>
        <v>0</v>
      </c>
      <c r="AT14" s="9">
        <f t="shared" si="20"/>
        <v>0</v>
      </c>
      <c r="AU14" s="9">
        <v>0</v>
      </c>
      <c r="AV14" s="9">
        <f t="shared" si="40"/>
        <v>0</v>
      </c>
      <c r="AW14" s="9">
        <f t="shared" si="41"/>
        <v>0</v>
      </c>
      <c r="AX14" s="9">
        <f t="shared" si="42"/>
        <v>0</v>
      </c>
      <c r="AY14" s="9">
        <v>0</v>
      </c>
      <c r="AZ14" s="9">
        <f t="shared" si="43"/>
        <v>0</v>
      </c>
      <c r="BA14" s="9">
        <f t="shared" si="44"/>
        <v>0</v>
      </c>
      <c r="BB14" s="9">
        <f t="shared" si="45"/>
        <v>0</v>
      </c>
      <c r="BC14" s="9">
        <f t="shared" si="21"/>
        <v>0</v>
      </c>
      <c r="BD14" s="9">
        <f t="shared" si="21"/>
        <v>0</v>
      </c>
      <c r="BE14" s="9">
        <f t="shared" si="22"/>
        <v>0</v>
      </c>
      <c r="BF14" s="9">
        <f t="shared" si="23"/>
        <v>0</v>
      </c>
      <c r="BG14" s="9">
        <f t="shared" si="24"/>
        <v>0</v>
      </c>
      <c r="BH14" s="9">
        <f t="shared" si="25"/>
        <v>0</v>
      </c>
      <c r="BI14" s="9">
        <f t="shared" si="46"/>
        <v>0</v>
      </c>
      <c r="BJ14" s="9">
        <f t="shared" si="47"/>
        <v>0</v>
      </c>
      <c r="BK14" s="9">
        <f t="shared" si="26"/>
        <v>0</v>
      </c>
      <c r="BL14" s="9">
        <f t="shared" si="27"/>
        <v>0</v>
      </c>
      <c r="BM14" s="9">
        <f t="shared" si="28"/>
        <v>10000</v>
      </c>
      <c r="BN14" s="9">
        <f t="shared" si="29"/>
        <v>10000</v>
      </c>
      <c r="BO14" s="9"/>
      <c r="BP14" s="12"/>
      <c r="BQ14" s="8"/>
    </row>
    <row r="15" spans="2:69" x14ac:dyDescent="0.25">
      <c r="B15" s="1">
        <v>11</v>
      </c>
      <c r="C15" s="50" t="s">
        <v>4</v>
      </c>
      <c r="D15" s="51">
        <v>0</v>
      </c>
      <c r="E15" s="8"/>
      <c r="F15" s="8"/>
      <c r="G15" s="9">
        <f t="shared" si="0"/>
        <v>0</v>
      </c>
      <c r="H15" s="9">
        <f t="shared" si="1"/>
        <v>0</v>
      </c>
      <c r="I15" s="9">
        <f t="shared" si="2"/>
        <v>-1</v>
      </c>
      <c r="J15" s="9">
        <f t="shared" si="3"/>
        <v>0</v>
      </c>
      <c r="K15" s="9">
        <f t="shared" si="4"/>
        <v>0</v>
      </c>
      <c r="L15" s="9">
        <f t="shared" si="5"/>
        <v>0</v>
      </c>
      <c r="M15" s="9">
        <f t="shared" si="6"/>
        <v>0</v>
      </c>
      <c r="N15" s="9">
        <f t="shared" si="7"/>
        <v>0</v>
      </c>
      <c r="O15" s="9">
        <f t="shared" si="8"/>
        <v>0</v>
      </c>
      <c r="P15" s="9">
        <f t="shared" si="48"/>
        <v>-11</v>
      </c>
      <c r="Q15" s="9">
        <f t="shared" si="9"/>
        <v>0</v>
      </c>
      <c r="R15" s="9">
        <f t="shared" si="30"/>
        <v>0</v>
      </c>
      <c r="S15" s="9">
        <f t="shared" si="10"/>
        <v>0</v>
      </c>
      <c r="T15" s="9">
        <f t="shared" si="31"/>
        <v>0</v>
      </c>
      <c r="U15" s="9">
        <f t="shared" si="32"/>
        <v>0</v>
      </c>
      <c r="V15" s="9">
        <f t="shared" si="33"/>
        <v>-0.98162718344766398</v>
      </c>
      <c r="W15" s="9">
        <f t="shared" si="34"/>
        <v>0.1908089953765448</v>
      </c>
      <c r="X15" s="9">
        <f t="shared" si="35"/>
        <v>-104.42598489878573</v>
      </c>
      <c r="Y15" s="9">
        <f t="shared" si="35"/>
        <v>-1708.7431242958942</v>
      </c>
      <c r="Z15" s="9">
        <f t="shared" si="11"/>
        <v>-104.42598489878573</v>
      </c>
      <c r="AA15" s="9">
        <f t="shared" si="12"/>
        <v>-1708.7431242958942</v>
      </c>
      <c r="AB15" s="9">
        <f>IF(O15=0,0,SUMPRODUCT(Z15:$Z$22, O15:$O$22)/SUM(O15:$O$22)-X15)</f>
        <v>0</v>
      </c>
      <c r="AC15" s="9">
        <f>IF(O15=0,0,SUMPRODUCT($AA15:$AA$22, $O15:$O$22)/SUM($O15:O$22)-Y15)</f>
        <v>0</v>
      </c>
      <c r="AD15" s="9"/>
      <c r="AE15" s="9"/>
      <c r="AF15" s="9"/>
      <c r="AG15" s="9"/>
      <c r="AH15" s="9"/>
      <c r="AI15" s="9">
        <f t="shared" si="13"/>
        <v>0</v>
      </c>
      <c r="AJ15" s="9">
        <f t="shared" si="14"/>
        <v>0</v>
      </c>
      <c r="AK15" s="9">
        <f t="shared" si="15"/>
        <v>-79</v>
      </c>
      <c r="AL15" s="9">
        <f t="shared" si="36"/>
        <v>-1.3788101090755203</v>
      </c>
      <c r="AM15" s="9">
        <f t="shared" si="37"/>
        <v>0</v>
      </c>
      <c r="AN15" s="9">
        <f t="shared" si="38"/>
        <v>0</v>
      </c>
      <c r="AO15" s="9">
        <f t="shared" si="16"/>
        <v>-469.58128007411221</v>
      </c>
      <c r="AP15" s="9">
        <f t="shared" si="17"/>
        <v>-204.15048715092053</v>
      </c>
      <c r="AQ15" s="9">
        <f t="shared" si="18"/>
        <v>98.784408832861118</v>
      </c>
      <c r="AR15" s="9">
        <f t="shared" si="39"/>
        <v>1.7241131837695953</v>
      </c>
      <c r="AS15" s="9">
        <f t="shared" si="19"/>
        <v>0</v>
      </c>
      <c r="AT15" s="9">
        <f t="shared" si="20"/>
        <v>0</v>
      </c>
      <c r="AU15" s="9">
        <v>0</v>
      </c>
      <c r="AV15" s="9">
        <f t="shared" si="40"/>
        <v>0</v>
      </c>
      <c r="AW15" s="9">
        <f t="shared" si="41"/>
        <v>0</v>
      </c>
      <c r="AX15" s="9">
        <f t="shared" si="42"/>
        <v>0</v>
      </c>
      <c r="AY15" s="9">
        <v>0</v>
      </c>
      <c r="AZ15" s="9">
        <f t="shared" si="43"/>
        <v>0</v>
      </c>
      <c r="BA15" s="9">
        <f t="shared" si="44"/>
        <v>0</v>
      </c>
      <c r="BB15" s="9">
        <f t="shared" si="45"/>
        <v>0</v>
      </c>
      <c r="BC15" s="9">
        <f t="shared" si="21"/>
        <v>0</v>
      </c>
      <c r="BD15" s="9">
        <f t="shared" si="21"/>
        <v>0</v>
      </c>
      <c r="BE15" s="9">
        <f t="shared" si="22"/>
        <v>0</v>
      </c>
      <c r="BF15" s="9">
        <f t="shared" si="23"/>
        <v>0</v>
      </c>
      <c r="BG15" s="9">
        <f t="shared" si="24"/>
        <v>0</v>
      </c>
      <c r="BH15" s="9">
        <f t="shared" si="25"/>
        <v>0</v>
      </c>
      <c r="BI15" s="9">
        <f t="shared" si="46"/>
        <v>0</v>
      </c>
      <c r="BJ15" s="9">
        <f t="shared" si="47"/>
        <v>0</v>
      </c>
      <c r="BK15" s="9">
        <f t="shared" si="26"/>
        <v>0</v>
      </c>
      <c r="BL15" s="9">
        <f t="shared" si="27"/>
        <v>0</v>
      </c>
      <c r="BM15" s="9">
        <f t="shared" si="28"/>
        <v>10000</v>
      </c>
      <c r="BN15" s="9">
        <f t="shared" si="29"/>
        <v>10000</v>
      </c>
      <c r="BO15" s="9"/>
      <c r="BP15" s="8"/>
      <c r="BQ15" s="8"/>
    </row>
    <row r="16" spans="2:69" x14ac:dyDescent="0.25">
      <c r="B16" s="1">
        <v>12</v>
      </c>
      <c r="C16" s="50" t="s">
        <v>4</v>
      </c>
      <c r="D16" s="51">
        <v>0</v>
      </c>
      <c r="E16" s="8"/>
      <c r="F16" s="8"/>
      <c r="G16" s="9">
        <f t="shared" si="0"/>
        <v>0</v>
      </c>
      <c r="H16" s="9">
        <f t="shared" si="1"/>
        <v>0</v>
      </c>
      <c r="I16" s="9">
        <f t="shared" si="2"/>
        <v>-1</v>
      </c>
      <c r="J16" s="9">
        <f t="shared" si="3"/>
        <v>0</v>
      </c>
      <c r="K16" s="9">
        <f t="shared" si="4"/>
        <v>0</v>
      </c>
      <c r="L16" s="9">
        <f t="shared" si="5"/>
        <v>0</v>
      </c>
      <c r="M16" s="9">
        <f t="shared" si="6"/>
        <v>0</v>
      </c>
      <c r="N16" s="9">
        <f t="shared" si="7"/>
        <v>0</v>
      </c>
      <c r="O16" s="9">
        <f t="shared" si="8"/>
        <v>0</v>
      </c>
      <c r="P16" s="9">
        <f t="shared" si="48"/>
        <v>-11</v>
      </c>
      <c r="Q16" s="9">
        <f t="shared" si="9"/>
        <v>0</v>
      </c>
      <c r="R16" s="9">
        <f t="shared" si="30"/>
        <v>0</v>
      </c>
      <c r="S16" s="9">
        <f t="shared" si="10"/>
        <v>0</v>
      </c>
      <c r="T16" s="9">
        <f t="shared" si="31"/>
        <v>0</v>
      </c>
      <c r="U16" s="9">
        <f t="shared" si="32"/>
        <v>0</v>
      </c>
      <c r="V16" s="9">
        <f t="shared" si="33"/>
        <v>-0.98162718344766398</v>
      </c>
      <c r="W16" s="9">
        <f t="shared" si="34"/>
        <v>0.1908089953765448</v>
      </c>
      <c r="X16" s="9">
        <f t="shared" si="35"/>
        <v>-104.42598489878573</v>
      </c>
      <c r="Y16" s="9">
        <f t="shared" si="35"/>
        <v>-1708.7431242958942</v>
      </c>
      <c r="Z16" s="9">
        <f t="shared" si="11"/>
        <v>-104.42598489878573</v>
      </c>
      <c r="AA16" s="9">
        <f t="shared" si="12"/>
        <v>-1708.7431242958942</v>
      </c>
      <c r="AB16" s="9">
        <f>IF(O16=0,0,SUMPRODUCT(Z16:$Z$22, O16:$O$22)/SUM(O16:$O$22)-X16)</f>
        <v>0</v>
      </c>
      <c r="AC16" s="9">
        <f>IF(O16=0,0,SUMPRODUCT($AA16:$AA$22, $O16:$O$22)/SUM($O16:O$22)-Y16)</f>
        <v>0</v>
      </c>
      <c r="AD16" s="9"/>
      <c r="AE16" s="9"/>
      <c r="AF16" s="9"/>
      <c r="AG16" s="9"/>
      <c r="AH16" s="9"/>
      <c r="AI16" s="9">
        <f t="shared" si="13"/>
        <v>0</v>
      </c>
      <c r="AJ16" s="9">
        <f t="shared" si="14"/>
        <v>0</v>
      </c>
      <c r="AK16" s="9">
        <f t="shared" si="15"/>
        <v>-79</v>
      </c>
      <c r="AL16" s="9">
        <f t="shared" si="36"/>
        <v>-1.3788101090755203</v>
      </c>
      <c r="AM16" s="9">
        <f t="shared" si="37"/>
        <v>0</v>
      </c>
      <c r="AN16" s="9">
        <f t="shared" si="38"/>
        <v>0</v>
      </c>
      <c r="AO16" s="9">
        <f t="shared" si="16"/>
        <v>-469.58128007411221</v>
      </c>
      <c r="AP16" s="9">
        <f t="shared" si="17"/>
        <v>-204.15048715092053</v>
      </c>
      <c r="AQ16" s="9">
        <f t="shared" si="18"/>
        <v>98.784408832861118</v>
      </c>
      <c r="AR16" s="9">
        <f t="shared" si="39"/>
        <v>1.7241131837695953</v>
      </c>
      <c r="AS16" s="9">
        <f t="shared" si="19"/>
        <v>0</v>
      </c>
      <c r="AT16" s="9">
        <f t="shared" si="20"/>
        <v>0</v>
      </c>
      <c r="AU16" s="9">
        <v>0</v>
      </c>
      <c r="AV16" s="9">
        <f t="shared" si="40"/>
        <v>0</v>
      </c>
      <c r="AW16" s="9">
        <f t="shared" si="41"/>
        <v>0</v>
      </c>
      <c r="AX16" s="9">
        <f t="shared" si="42"/>
        <v>0</v>
      </c>
      <c r="AY16" s="9">
        <v>0</v>
      </c>
      <c r="AZ16" s="9">
        <f t="shared" si="43"/>
        <v>0</v>
      </c>
      <c r="BA16" s="9">
        <f t="shared" si="44"/>
        <v>0</v>
      </c>
      <c r="BB16" s="9">
        <f t="shared" si="45"/>
        <v>0</v>
      </c>
      <c r="BC16" s="9">
        <f t="shared" si="21"/>
        <v>0</v>
      </c>
      <c r="BD16" s="9">
        <f t="shared" si="21"/>
        <v>0</v>
      </c>
      <c r="BE16" s="9">
        <f t="shared" si="22"/>
        <v>0</v>
      </c>
      <c r="BF16" s="9">
        <f t="shared" si="23"/>
        <v>0</v>
      </c>
      <c r="BG16" s="9">
        <f t="shared" si="24"/>
        <v>0</v>
      </c>
      <c r="BH16" s="9">
        <f t="shared" si="25"/>
        <v>0</v>
      </c>
      <c r="BI16" s="9">
        <f t="shared" si="46"/>
        <v>0</v>
      </c>
      <c r="BJ16" s="9">
        <f t="shared" si="47"/>
        <v>0</v>
      </c>
      <c r="BK16" s="9">
        <f t="shared" si="26"/>
        <v>0</v>
      </c>
      <c r="BL16" s="9">
        <f t="shared" si="27"/>
        <v>0</v>
      </c>
      <c r="BM16" s="9">
        <f t="shared" si="28"/>
        <v>10000</v>
      </c>
      <c r="BN16" s="9">
        <f t="shared" si="29"/>
        <v>10000</v>
      </c>
      <c r="BO16" s="9"/>
      <c r="BP16" s="8"/>
      <c r="BQ16" s="8"/>
    </row>
    <row r="17" spans="2:69" x14ac:dyDescent="0.25">
      <c r="B17" s="1">
        <v>13</v>
      </c>
      <c r="C17" s="50" t="s">
        <v>4</v>
      </c>
      <c r="D17" s="51">
        <v>0</v>
      </c>
      <c r="E17" s="8"/>
      <c r="F17" s="8"/>
      <c r="G17" s="9">
        <f t="shared" si="0"/>
        <v>0</v>
      </c>
      <c r="H17" s="9">
        <f t="shared" si="1"/>
        <v>0</v>
      </c>
      <c r="I17" s="9">
        <f t="shared" si="2"/>
        <v>-1</v>
      </c>
      <c r="J17" s="9">
        <f t="shared" si="3"/>
        <v>0</v>
      </c>
      <c r="K17" s="9">
        <f t="shared" si="4"/>
        <v>0</v>
      </c>
      <c r="L17" s="9">
        <f t="shared" si="5"/>
        <v>0</v>
      </c>
      <c r="M17" s="9">
        <f t="shared" si="6"/>
        <v>0</v>
      </c>
      <c r="N17" s="9">
        <f t="shared" si="7"/>
        <v>0</v>
      </c>
      <c r="O17" s="9">
        <f t="shared" si="8"/>
        <v>0</v>
      </c>
      <c r="P17" s="9">
        <f t="shared" si="48"/>
        <v>-11</v>
      </c>
      <c r="Q17" s="9">
        <f t="shared" si="9"/>
        <v>0</v>
      </c>
      <c r="R17" s="9">
        <f t="shared" si="30"/>
        <v>0</v>
      </c>
      <c r="S17" s="9">
        <f t="shared" si="10"/>
        <v>0</v>
      </c>
      <c r="T17" s="9">
        <f t="shared" si="31"/>
        <v>0</v>
      </c>
      <c r="U17" s="9">
        <f t="shared" si="32"/>
        <v>0</v>
      </c>
      <c r="V17" s="9">
        <f t="shared" si="33"/>
        <v>-0.98162718344766398</v>
      </c>
      <c r="W17" s="9">
        <f t="shared" si="34"/>
        <v>0.1908089953765448</v>
      </c>
      <c r="X17" s="9">
        <f t="shared" si="35"/>
        <v>-104.42598489878573</v>
      </c>
      <c r="Y17" s="9">
        <f t="shared" si="35"/>
        <v>-1708.7431242958942</v>
      </c>
      <c r="Z17" s="9">
        <f t="shared" si="11"/>
        <v>-104.42598489878573</v>
      </c>
      <c r="AA17" s="9">
        <f t="shared" si="12"/>
        <v>-1708.7431242958942</v>
      </c>
      <c r="AB17" s="9">
        <f>IF(O17=0,0,SUMPRODUCT(Z17:$Z$22, O17:$O$22)/SUM(O17:$O$22)-X17)</f>
        <v>0</v>
      </c>
      <c r="AC17" s="9">
        <f>IF(O17=0,0,SUMPRODUCT($AA17:$AA$22, $O17:$O$22)/SUM($O17:O$22)-Y17)</f>
        <v>0</v>
      </c>
      <c r="AD17" s="9"/>
      <c r="AE17" s="9"/>
      <c r="AF17" s="9"/>
      <c r="AG17" s="9"/>
      <c r="AH17" s="9"/>
      <c r="AI17" s="9">
        <f t="shared" si="13"/>
        <v>0</v>
      </c>
      <c r="AJ17" s="9">
        <f t="shared" si="14"/>
        <v>0</v>
      </c>
      <c r="AK17" s="9">
        <f t="shared" si="15"/>
        <v>-79</v>
      </c>
      <c r="AL17" s="9">
        <f t="shared" si="36"/>
        <v>-1.3788101090755203</v>
      </c>
      <c r="AM17" s="9">
        <f t="shared" si="37"/>
        <v>0</v>
      </c>
      <c r="AN17" s="9">
        <f t="shared" si="38"/>
        <v>0</v>
      </c>
      <c r="AO17" s="9">
        <f t="shared" si="16"/>
        <v>-469.58128007411221</v>
      </c>
      <c r="AP17" s="9">
        <f t="shared" si="17"/>
        <v>-204.15048715092053</v>
      </c>
      <c r="AQ17" s="9">
        <f t="shared" si="18"/>
        <v>98.784408832861118</v>
      </c>
      <c r="AR17" s="9">
        <f t="shared" si="39"/>
        <v>1.7241131837695953</v>
      </c>
      <c r="AS17" s="9">
        <f t="shared" si="19"/>
        <v>0</v>
      </c>
      <c r="AT17" s="9">
        <f t="shared" si="20"/>
        <v>0</v>
      </c>
      <c r="AU17" s="9">
        <v>0</v>
      </c>
      <c r="AV17" s="9">
        <f t="shared" si="40"/>
        <v>0</v>
      </c>
      <c r="AW17" s="9">
        <f t="shared" si="41"/>
        <v>0</v>
      </c>
      <c r="AX17" s="9">
        <f t="shared" si="42"/>
        <v>0</v>
      </c>
      <c r="AY17" s="9">
        <v>0</v>
      </c>
      <c r="AZ17" s="9">
        <f t="shared" si="43"/>
        <v>0</v>
      </c>
      <c r="BA17" s="9">
        <f t="shared" si="44"/>
        <v>0</v>
      </c>
      <c r="BB17" s="9">
        <f t="shared" si="45"/>
        <v>0</v>
      </c>
      <c r="BC17" s="9">
        <f t="shared" si="21"/>
        <v>0</v>
      </c>
      <c r="BD17" s="9">
        <f t="shared" si="21"/>
        <v>0</v>
      </c>
      <c r="BE17" s="9">
        <f t="shared" si="22"/>
        <v>0</v>
      </c>
      <c r="BF17" s="9">
        <f t="shared" si="23"/>
        <v>0</v>
      </c>
      <c r="BG17" s="9">
        <f t="shared" si="24"/>
        <v>0</v>
      </c>
      <c r="BH17" s="9">
        <f t="shared" si="25"/>
        <v>0</v>
      </c>
      <c r="BI17" s="9">
        <f t="shared" si="46"/>
        <v>0</v>
      </c>
      <c r="BJ17" s="9">
        <f t="shared" si="47"/>
        <v>0</v>
      </c>
      <c r="BK17" s="9">
        <f t="shared" si="26"/>
        <v>0</v>
      </c>
      <c r="BL17" s="9">
        <f t="shared" si="27"/>
        <v>0</v>
      </c>
      <c r="BM17" s="9">
        <f t="shared" si="28"/>
        <v>10000</v>
      </c>
      <c r="BN17" s="9">
        <f t="shared" si="29"/>
        <v>10000</v>
      </c>
      <c r="BO17" s="9"/>
      <c r="BP17" s="8"/>
      <c r="BQ17" s="8"/>
    </row>
    <row r="18" spans="2:69" x14ac:dyDescent="0.25">
      <c r="B18" s="1">
        <v>14</v>
      </c>
      <c r="C18" s="50" t="s">
        <v>4</v>
      </c>
      <c r="D18" s="51">
        <v>0</v>
      </c>
      <c r="E18" s="8"/>
      <c r="F18" s="8"/>
      <c r="G18" s="9">
        <f t="shared" si="0"/>
        <v>0</v>
      </c>
      <c r="H18" s="9">
        <f t="shared" si="1"/>
        <v>0</v>
      </c>
      <c r="I18" s="9">
        <f t="shared" si="2"/>
        <v>-1</v>
      </c>
      <c r="J18" s="9">
        <f t="shared" si="3"/>
        <v>0</v>
      </c>
      <c r="K18" s="9">
        <f t="shared" si="4"/>
        <v>0</v>
      </c>
      <c r="L18" s="9">
        <f t="shared" si="5"/>
        <v>0</v>
      </c>
      <c r="M18" s="9">
        <f t="shared" si="6"/>
        <v>0</v>
      </c>
      <c r="N18" s="9">
        <f t="shared" si="7"/>
        <v>0</v>
      </c>
      <c r="O18" s="9">
        <f t="shared" si="8"/>
        <v>0</v>
      </c>
      <c r="P18" s="9">
        <f t="shared" si="48"/>
        <v>-11</v>
      </c>
      <c r="Q18" s="9">
        <f t="shared" si="9"/>
        <v>0</v>
      </c>
      <c r="R18" s="9">
        <f t="shared" si="30"/>
        <v>0</v>
      </c>
      <c r="S18" s="9">
        <f t="shared" si="10"/>
        <v>0</v>
      </c>
      <c r="T18" s="9">
        <f t="shared" si="31"/>
        <v>0</v>
      </c>
      <c r="U18" s="9">
        <f t="shared" si="32"/>
        <v>0</v>
      </c>
      <c r="V18" s="9">
        <f t="shared" si="33"/>
        <v>-0.98162718344766398</v>
      </c>
      <c r="W18" s="9">
        <f t="shared" si="34"/>
        <v>0.1908089953765448</v>
      </c>
      <c r="X18" s="9">
        <f t="shared" si="35"/>
        <v>-104.42598489878573</v>
      </c>
      <c r="Y18" s="9">
        <f t="shared" si="35"/>
        <v>-1708.7431242958942</v>
      </c>
      <c r="Z18" s="9">
        <f t="shared" si="11"/>
        <v>-104.42598489878573</v>
      </c>
      <c r="AA18" s="9">
        <f t="shared" si="12"/>
        <v>-1708.7431242958942</v>
      </c>
      <c r="AB18" s="9">
        <f>IF(O18=0,0,SUMPRODUCT(Z18:$Z$22, O18:$O$22)/SUM(O18:$O$22)-X18)</f>
        <v>0</v>
      </c>
      <c r="AC18" s="9">
        <f>IF(O18=0,0,SUMPRODUCT($AA18:$AA$22, $O18:$O$22)/SUM($O18:O$22)-Y18)</f>
        <v>0</v>
      </c>
      <c r="AD18" s="9"/>
      <c r="AE18" s="9"/>
      <c r="AF18" s="9"/>
      <c r="AG18" s="9"/>
      <c r="AH18" s="9"/>
      <c r="AI18" s="9">
        <f t="shared" si="13"/>
        <v>0</v>
      </c>
      <c r="AJ18" s="9">
        <f t="shared" si="14"/>
        <v>0</v>
      </c>
      <c r="AK18" s="9">
        <f t="shared" si="15"/>
        <v>-79</v>
      </c>
      <c r="AL18" s="9">
        <f t="shared" si="36"/>
        <v>-1.3788101090755203</v>
      </c>
      <c r="AM18" s="9">
        <f t="shared" si="37"/>
        <v>0</v>
      </c>
      <c r="AN18" s="9">
        <f t="shared" si="38"/>
        <v>0</v>
      </c>
      <c r="AO18" s="9">
        <f t="shared" si="16"/>
        <v>-469.58128007411221</v>
      </c>
      <c r="AP18" s="9">
        <f t="shared" si="17"/>
        <v>-204.15048715092053</v>
      </c>
      <c r="AQ18" s="9">
        <f t="shared" si="18"/>
        <v>98.784408832861118</v>
      </c>
      <c r="AR18" s="9">
        <f t="shared" si="39"/>
        <v>1.7241131837695953</v>
      </c>
      <c r="AS18" s="9">
        <f t="shared" si="19"/>
        <v>0</v>
      </c>
      <c r="AT18" s="9">
        <f t="shared" si="20"/>
        <v>0</v>
      </c>
      <c r="AU18" s="9">
        <v>0</v>
      </c>
      <c r="AV18" s="9">
        <f t="shared" si="40"/>
        <v>0</v>
      </c>
      <c r="AW18" s="9">
        <f t="shared" si="41"/>
        <v>0</v>
      </c>
      <c r="AX18" s="9">
        <f t="shared" si="42"/>
        <v>0</v>
      </c>
      <c r="AY18" s="9">
        <v>0</v>
      </c>
      <c r="AZ18" s="9">
        <f t="shared" si="43"/>
        <v>0</v>
      </c>
      <c r="BA18" s="9">
        <f t="shared" si="44"/>
        <v>0</v>
      </c>
      <c r="BB18" s="9">
        <f t="shared" si="45"/>
        <v>0</v>
      </c>
      <c r="BC18" s="9">
        <f t="shared" si="21"/>
        <v>0</v>
      </c>
      <c r="BD18" s="9">
        <f t="shared" si="21"/>
        <v>0</v>
      </c>
      <c r="BE18" s="9">
        <f t="shared" si="22"/>
        <v>0</v>
      </c>
      <c r="BF18" s="9">
        <f t="shared" si="23"/>
        <v>0</v>
      </c>
      <c r="BG18" s="9">
        <f t="shared" si="24"/>
        <v>0</v>
      </c>
      <c r="BH18" s="9">
        <f t="shared" si="25"/>
        <v>0</v>
      </c>
      <c r="BI18" s="9">
        <f t="shared" si="46"/>
        <v>0</v>
      </c>
      <c r="BJ18" s="9">
        <f t="shared" si="47"/>
        <v>0</v>
      </c>
      <c r="BK18" s="9">
        <f t="shared" si="26"/>
        <v>0</v>
      </c>
      <c r="BL18" s="9">
        <f t="shared" si="27"/>
        <v>0</v>
      </c>
      <c r="BM18" s="9">
        <f t="shared" si="28"/>
        <v>10000</v>
      </c>
      <c r="BN18" s="9">
        <f t="shared" si="29"/>
        <v>10000</v>
      </c>
      <c r="BO18" s="9"/>
      <c r="BP18" s="8"/>
      <c r="BQ18" s="8"/>
    </row>
    <row r="19" spans="2:69" x14ac:dyDescent="0.25">
      <c r="B19" s="1">
        <v>15</v>
      </c>
      <c r="C19" s="50" t="s">
        <v>4</v>
      </c>
      <c r="D19" s="51">
        <v>0</v>
      </c>
      <c r="E19" s="8"/>
      <c r="F19" s="8"/>
      <c r="G19" s="9">
        <f t="shared" si="0"/>
        <v>0</v>
      </c>
      <c r="H19" s="9">
        <f t="shared" si="1"/>
        <v>0</v>
      </c>
      <c r="I19" s="9">
        <f t="shared" si="2"/>
        <v>-1</v>
      </c>
      <c r="J19" s="9">
        <f t="shared" si="3"/>
        <v>0</v>
      </c>
      <c r="K19" s="9">
        <f t="shared" si="4"/>
        <v>0</v>
      </c>
      <c r="L19" s="9">
        <f t="shared" si="5"/>
        <v>0</v>
      </c>
      <c r="M19" s="9">
        <f t="shared" si="6"/>
        <v>0</v>
      </c>
      <c r="N19" s="9">
        <f t="shared" si="7"/>
        <v>0</v>
      </c>
      <c r="O19" s="9">
        <f t="shared" si="8"/>
        <v>0</v>
      </c>
      <c r="P19" s="9">
        <f t="shared" si="48"/>
        <v>-11</v>
      </c>
      <c r="Q19" s="9">
        <f t="shared" si="9"/>
        <v>0</v>
      </c>
      <c r="R19" s="9">
        <f t="shared" si="30"/>
        <v>0</v>
      </c>
      <c r="S19" s="9">
        <f t="shared" si="10"/>
        <v>0</v>
      </c>
      <c r="T19" s="9">
        <f t="shared" si="31"/>
        <v>0</v>
      </c>
      <c r="U19" s="9">
        <f t="shared" si="32"/>
        <v>0</v>
      </c>
      <c r="V19" s="9">
        <f t="shared" si="33"/>
        <v>-0.98162718344766398</v>
      </c>
      <c r="W19" s="9">
        <f t="shared" si="34"/>
        <v>0.1908089953765448</v>
      </c>
      <c r="X19" s="9">
        <f t="shared" si="35"/>
        <v>-104.42598489878573</v>
      </c>
      <c r="Y19" s="9">
        <f t="shared" si="35"/>
        <v>-1708.7431242958942</v>
      </c>
      <c r="Z19" s="9">
        <f t="shared" si="11"/>
        <v>-104.42598489878573</v>
      </c>
      <c r="AA19" s="9">
        <f t="shared" si="12"/>
        <v>-1708.7431242958942</v>
      </c>
      <c r="AB19" s="9">
        <f>IF(O19=0,0,SUMPRODUCT(Z19:$Z$22, O19:$O$22)/SUM(O19:$O$22)-X19)</f>
        <v>0</v>
      </c>
      <c r="AC19" s="9">
        <f>IF(O19=0,0,SUMPRODUCT($AA19:$AA$22, $O19:$O$22)/SUM($O19:O$22)-Y19)</f>
        <v>0</v>
      </c>
      <c r="AD19" s="9"/>
      <c r="AE19" s="9"/>
      <c r="AF19" s="9"/>
      <c r="AG19" s="9"/>
      <c r="AH19" s="9"/>
      <c r="AI19" s="9">
        <f t="shared" si="13"/>
        <v>0</v>
      </c>
      <c r="AJ19" s="9">
        <f t="shared" si="14"/>
        <v>0</v>
      </c>
      <c r="AK19" s="9">
        <f t="shared" si="15"/>
        <v>-79</v>
      </c>
      <c r="AL19" s="9">
        <f t="shared" si="36"/>
        <v>-1.3788101090755203</v>
      </c>
      <c r="AM19" s="9">
        <f t="shared" si="37"/>
        <v>0</v>
      </c>
      <c r="AN19" s="9">
        <f t="shared" si="38"/>
        <v>0</v>
      </c>
      <c r="AO19" s="9">
        <f t="shared" si="16"/>
        <v>-469.58128007411221</v>
      </c>
      <c r="AP19" s="9">
        <f t="shared" si="17"/>
        <v>-204.15048715092053</v>
      </c>
      <c r="AQ19" s="9">
        <f t="shared" si="18"/>
        <v>98.784408832861118</v>
      </c>
      <c r="AR19" s="9">
        <f t="shared" si="39"/>
        <v>1.7241131837695953</v>
      </c>
      <c r="AS19" s="9">
        <f t="shared" si="19"/>
        <v>0</v>
      </c>
      <c r="AT19" s="9">
        <f t="shared" si="20"/>
        <v>0</v>
      </c>
      <c r="AU19" s="9">
        <v>0</v>
      </c>
      <c r="AV19" s="9">
        <f t="shared" si="40"/>
        <v>0</v>
      </c>
      <c r="AW19" s="9">
        <f t="shared" si="41"/>
        <v>0</v>
      </c>
      <c r="AX19" s="9">
        <f t="shared" si="42"/>
        <v>0</v>
      </c>
      <c r="AY19" s="9">
        <v>0</v>
      </c>
      <c r="AZ19" s="9">
        <f t="shared" si="43"/>
        <v>0</v>
      </c>
      <c r="BA19" s="9">
        <f t="shared" si="44"/>
        <v>0</v>
      </c>
      <c r="BB19" s="9">
        <f t="shared" si="45"/>
        <v>0</v>
      </c>
      <c r="BC19" s="9">
        <f t="shared" si="21"/>
        <v>0</v>
      </c>
      <c r="BD19" s="9">
        <f t="shared" si="21"/>
        <v>0</v>
      </c>
      <c r="BE19" s="9">
        <f t="shared" si="22"/>
        <v>0</v>
      </c>
      <c r="BF19" s="9">
        <f t="shared" si="23"/>
        <v>0</v>
      </c>
      <c r="BG19" s="9">
        <f t="shared" si="24"/>
        <v>0</v>
      </c>
      <c r="BH19" s="9">
        <f t="shared" si="25"/>
        <v>0</v>
      </c>
      <c r="BI19" s="9">
        <f t="shared" si="46"/>
        <v>0</v>
      </c>
      <c r="BJ19" s="9">
        <f t="shared" si="47"/>
        <v>0</v>
      </c>
      <c r="BK19" s="9">
        <f t="shared" si="26"/>
        <v>0</v>
      </c>
      <c r="BL19" s="9">
        <f t="shared" si="27"/>
        <v>0</v>
      </c>
      <c r="BM19" s="9">
        <f t="shared" si="28"/>
        <v>10000</v>
      </c>
      <c r="BN19" s="9">
        <f t="shared" si="29"/>
        <v>10000</v>
      </c>
      <c r="BO19" s="9"/>
      <c r="BP19" s="8"/>
      <c r="BQ19" s="8"/>
    </row>
    <row r="20" spans="2:69" x14ac:dyDescent="0.25">
      <c r="B20" s="1">
        <v>16</v>
      </c>
      <c r="C20" s="50" t="s">
        <v>4</v>
      </c>
      <c r="D20" s="51">
        <v>0</v>
      </c>
      <c r="E20" s="8"/>
      <c r="F20" s="8"/>
      <c r="G20" s="9">
        <f t="shared" si="0"/>
        <v>0</v>
      </c>
      <c r="H20" s="9">
        <f t="shared" si="1"/>
        <v>0</v>
      </c>
      <c r="I20" s="9">
        <f t="shared" si="2"/>
        <v>-1</v>
      </c>
      <c r="J20" s="9">
        <f t="shared" si="3"/>
        <v>0</v>
      </c>
      <c r="K20" s="9">
        <f t="shared" si="4"/>
        <v>0</v>
      </c>
      <c r="L20" s="9">
        <f t="shared" si="5"/>
        <v>0</v>
      </c>
      <c r="M20" s="9">
        <f t="shared" si="6"/>
        <v>0</v>
      </c>
      <c r="N20" s="9">
        <f t="shared" si="7"/>
        <v>0</v>
      </c>
      <c r="O20" s="9">
        <f t="shared" si="8"/>
        <v>0</v>
      </c>
      <c r="P20" s="9">
        <f t="shared" si="48"/>
        <v>-11</v>
      </c>
      <c r="Q20" s="9">
        <f t="shared" si="9"/>
        <v>0</v>
      </c>
      <c r="R20" s="9">
        <f t="shared" si="30"/>
        <v>0</v>
      </c>
      <c r="S20" s="9">
        <f t="shared" si="10"/>
        <v>0</v>
      </c>
      <c r="T20" s="9">
        <f t="shared" si="31"/>
        <v>0</v>
      </c>
      <c r="U20" s="9">
        <f t="shared" si="32"/>
        <v>0</v>
      </c>
      <c r="V20" s="9">
        <f t="shared" si="33"/>
        <v>-0.98162718344766398</v>
      </c>
      <c r="W20" s="9">
        <f t="shared" si="34"/>
        <v>0.1908089953765448</v>
      </c>
      <c r="X20" s="9">
        <f t="shared" si="35"/>
        <v>-104.42598489878573</v>
      </c>
      <c r="Y20" s="9">
        <f t="shared" si="35"/>
        <v>-1708.7431242958942</v>
      </c>
      <c r="Z20" s="9">
        <f t="shared" si="11"/>
        <v>-104.42598489878573</v>
      </c>
      <c r="AA20" s="9">
        <f t="shared" si="12"/>
        <v>-1708.7431242958942</v>
      </c>
      <c r="AB20" s="9">
        <f>IF(O20=0,0,SUMPRODUCT(Z20:$Z$22, O20:$O$22)/SUM(O20:$O$22)-X20)</f>
        <v>0</v>
      </c>
      <c r="AC20" s="9">
        <f>IF(O20=0,0,SUMPRODUCT($AA20:$AA$22, $O20:$O$22)/SUM($O20:O$22)-Y20)</f>
        <v>0</v>
      </c>
      <c r="AD20" s="9"/>
      <c r="AE20" s="9"/>
      <c r="AF20" s="9"/>
      <c r="AG20" s="9"/>
      <c r="AH20" s="9"/>
      <c r="AI20" s="9">
        <f t="shared" si="13"/>
        <v>0</v>
      </c>
      <c r="AJ20" s="9">
        <f t="shared" si="14"/>
        <v>0</v>
      </c>
      <c r="AK20" s="9">
        <f t="shared" si="15"/>
        <v>-79</v>
      </c>
      <c r="AL20" s="9">
        <f t="shared" si="36"/>
        <v>-1.3788101090755203</v>
      </c>
      <c r="AM20" s="9">
        <f t="shared" si="37"/>
        <v>0</v>
      </c>
      <c r="AN20" s="9">
        <f t="shared" si="38"/>
        <v>0</v>
      </c>
      <c r="AO20" s="9">
        <f t="shared" si="16"/>
        <v>-469.58128007411221</v>
      </c>
      <c r="AP20" s="9">
        <f t="shared" si="17"/>
        <v>-204.15048715092053</v>
      </c>
      <c r="AQ20" s="9">
        <f t="shared" si="18"/>
        <v>98.784408832861118</v>
      </c>
      <c r="AR20" s="9">
        <f t="shared" si="39"/>
        <v>1.7241131837695953</v>
      </c>
      <c r="AS20" s="9">
        <f t="shared" si="19"/>
        <v>0</v>
      </c>
      <c r="AT20" s="9">
        <f t="shared" si="20"/>
        <v>0</v>
      </c>
      <c r="AU20" s="9">
        <v>0</v>
      </c>
      <c r="AV20" s="9">
        <f t="shared" si="40"/>
        <v>0</v>
      </c>
      <c r="AW20" s="9">
        <f t="shared" si="41"/>
        <v>0</v>
      </c>
      <c r="AX20" s="9">
        <f t="shared" si="42"/>
        <v>0</v>
      </c>
      <c r="AY20" s="9">
        <v>0</v>
      </c>
      <c r="AZ20" s="9">
        <f t="shared" si="43"/>
        <v>0</v>
      </c>
      <c r="BA20" s="9">
        <f t="shared" si="44"/>
        <v>0</v>
      </c>
      <c r="BB20" s="9">
        <f t="shared" si="45"/>
        <v>0</v>
      </c>
      <c r="BC20" s="9">
        <f>BA20+AY20+AU20+AS20+AM20+AW20</f>
        <v>0</v>
      </c>
      <c r="BD20" s="9">
        <f t="shared" si="21"/>
        <v>0</v>
      </c>
      <c r="BE20" s="9">
        <f t="shared" si="22"/>
        <v>0</v>
      </c>
      <c r="BF20" s="9">
        <f t="shared" si="23"/>
        <v>0</v>
      </c>
      <c r="BG20" s="9">
        <f t="shared" si="24"/>
        <v>0</v>
      </c>
      <c r="BH20" s="9">
        <f t="shared" si="25"/>
        <v>0</v>
      </c>
      <c r="BI20" s="9">
        <f t="shared" si="46"/>
        <v>0</v>
      </c>
      <c r="BJ20" s="9">
        <f t="shared" si="47"/>
        <v>0</v>
      </c>
      <c r="BK20" s="9">
        <f t="shared" si="26"/>
        <v>0</v>
      </c>
      <c r="BL20" s="9">
        <f t="shared" si="27"/>
        <v>0</v>
      </c>
      <c r="BM20" s="9">
        <f t="shared" si="28"/>
        <v>10000</v>
      </c>
      <c r="BN20" s="9">
        <f t="shared" si="29"/>
        <v>10000</v>
      </c>
      <c r="BO20" s="9"/>
      <c r="BP20" s="8"/>
      <c r="BQ20" s="8"/>
    </row>
    <row r="21" spans="2:69" x14ac:dyDescent="0.25">
      <c r="B21" s="1">
        <v>17</v>
      </c>
      <c r="C21" s="50" t="s">
        <v>4</v>
      </c>
      <c r="D21" s="51">
        <v>0</v>
      </c>
      <c r="E21" s="8"/>
      <c r="F21" s="8"/>
      <c r="G21" s="9">
        <f t="shared" si="0"/>
        <v>0</v>
      </c>
      <c r="H21" s="9">
        <f t="shared" si="1"/>
        <v>0</v>
      </c>
      <c r="I21" s="9">
        <f t="shared" si="2"/>
        <v>-1</v>
      </c>
      <c r="J21" s="9">
        <f t="shared" si="3"/>
        <v>0</v>
      </c>
      <c r="K21" s="9">
        <f t="shared" si="4"/>
        <v>0</v>
      </c>
      <c r="L21" s="9">
        <f t="shared" si="5"/>
        <v>0</v>
      </c>
      <c r="M21" s="9">
        <f t="shared" si="6"/>
        <v>0</v>
      </c>
      <c r="N21" s="9">
        <f t="shared" si="7"/>
        <v>0</v>
      </c>
      <c r="O21" s="9">
        <f t="shared" si="8"/>
        <v>0</v>
      </c>
      <c r="P21" s="9">
        <f t="shared" si="48"/>
        <v>-11</v>
      </c>
      <c r="Q21" s="9">
        <f t="shared" si="9"/>
        <v>0</v>
      </c>
      <c r="R21" s="9">
        <f t="shared" si="30"/>
        <v>0</v>
      </c>
      <c r="S21" s="9">
        <f t="shared" si="10"/>
        <v>0</v>
      </c>
      <c r="T21" s="9">
        <f t="shared" si="31"/>
        <v>0</v>
      </c>
      <c r="U21" s="9">
        <f t="shared" si="32"/>
        <v>0</v>
      </c>
      <c r="V21" s="9">
        <f t="shared" si="33"/>
        <v>-0.98162718344766398</v>
      </c>
      <c r="W21" s="9">
        <f t="shared" si="34"/>
        <v>0.1908089953765448</v>
      </c>
      <c r="X21" s="9">
        <f t="shared" si="35"/>
        <v>-104.42598489878573</v>
      </c>
      <c r="Y21" s="9">
        <f t="shared" si="35"/>
        <v>-1708.7431242958942</v>
      </c>
      <c r="Z21" s="9">
        <f t="shared" si="11"/>
        <v>-104.42598489878573</v>
      </c>
      <c r="AA21" s="9">
        <f t="shared" si="12"/>
        <v>-1708.7431242958942</v>
      </c>
      <c r="AB21" s="9">
        <f>IF(O21=0,0,SUMPRODUCT(Z21:$Z$22, O21:$O$22)/SUM(O21:$O$22)-X21)</f>
        <v>0</v>
      </c>
      <c r="AC21" s="9">
        <f>IF(O21=0,0,SUMPRODUCT($AA21:$AA$22, $O21:$O$22)/SUM($O21:O$22)-Y21)</f>
        <v>0</v>
      </c>
      <c r="AD21" s="9"/>
      <c r="AE21" s="9"/>
      <c r="AF21" s="9"/>
      <c r="AG21" s="9"/>
      <c r="AH21" s="9"/>
      <c r="AI21" s="9">
        <f t="shared" si="13"/>
        <v>0</v>
      </c>
      <c r="AJ21" s="9">
        <f t="shared" si="14"/>
        <v>0</v>
      </c>
      <c r="AK21" s="9">
        <f t="shared" si="15"/>
        <v>-79</v>
      </c>
      <c r="AL21" s="9">
        <f t="shared" si="36"/>
        <v>-1.3788101090755203</v>
      </c>
      <c r="AM21" s="9">
        <f t="shared" si="37"/>
        <v>0</v>
      </c>
      <c r="AN21" s="9">
        <f t="shared" si="38"/>
        <v>0</v>
      </c>
      <c r="AO21" s="9">
        <f t="shared" si="16"/>
        <v>-469.58128007411221</v>
      </c>
      <c r="AP21" s="9">
        <f t="shared" si="17"/>
        <v>-204.15048715092053</v>
      </c>
      <c r="AQ21" s="9">
        <f t="shared" si="18"/>
        <v>98.784408832861118</v>
      </c>
      <c r="AR21" s="9">
        <f t="shared" si="39"/>
        <v>1.7241131837695953</v>
      </c>
      <c r="AS21" s="9">
        <f t="shared" si="19"/>
        <v>0</v>
      </c>
      <c r="AT21" s="9">
        <f t="shared" si="20"/>
        <v>0</v>
      </c>
      <c r="AU21" s="9">
        <v>0</v>
      </c>
      <c r="AV21" s="9">
        <f t="shared" si="40"/>
        <v>0</v>
      </c>
      <c r="AW21" s="9">
        <f t="shared" si="41"/>
        <v>0</v>
      </c>
      <c r="AX21" s="9">
        <f t="shared" si="42"/>
        <v>0</v>
      </c>
      <c r="AY21" s="9">
        <v>0</v>
      </c>
      <c r="AZ21" s="9">
        <f t="shared" si="43"/>
        <v>0</v>
      </c>
      <c r="BA21" s="9">
        <f t="shared" si="44"/>
        <v>0</v>
      </c>
      <c r="BB21" s="9">
        <f t="shared" si="45"/>
        <v>0</v>
      </c>
      <c r="BC21" s="9">
        <f t="shared" si="21"/>
        <v>0</v>
      </c>
      <c r="BD21" s="9">
        <f t="shared" si="21"/>
        <v>0</v>
      </c>
      <c r="BE21" s="9">
        <f t="shared" si="22"/>
        <v>0</v>
      </c>
      <c r="BF21" s="9">
        <f t="shared" si="23"/>
        <v>0</v>
      </c>
      <c r="BG21" s="9">
        <f t="shared" si="24"/>
        <v>0</v>
      </c>
      <c r="BH21" s="9">
        <f t="shared" si="25"/>
        <v>0</v>
      </c>
      <c r="BI21" s="9">
        <f t="shared" si="46"/>
        <v>0</v>
      </c>
      <c r="BJ21" s="9">
        <f t="shared" si="47"/>
        <v>0</v>
      </c>
      <c r="BK21" s="9">
        <f t="shared" si="26"/>
        <v>0</v>
      </c>
      <c r="BL21" s="9">
        <f t="shared" si="27"/>
        <v>0</v>
      </c>
      <c r="BM21" s="9">
        <f t="shared" si="28"/>
        <v>10000</v>
      </c>
      <c r="BN21" s="9">
        <f t="shared" si="29"/>
        <v>10000</v>
      </c>
      <c r="BO21" s="9"/>
      <c r="BP21" s="8"/>
      <c r="BQ21" s="8"/>
    </row>
    <row r="22" spans="2:69" ht="15.75" thickBot="1" x14ac:dyDescent="0.3">
      <c r="B22" s="1">
        <v>18</v>
      </c>
      <c r="C22" s="50" t="s">
        <v>4</v>
      </c>
      <c r="D22" s="51">
        <v>0</v>
      </c>
      <c r="E22" s="8"/>
      <c r="F22" s="8"/>
      <c r="G22" s="9">
        <f t="shared" si="0"/>
        <v>0</v>
      </c>
      <c r="H22" s="9">
        <f t="shared" si="1"/>
        <v>0</v>
      </c>
      <c r="I22" s="9">
        <f t="shared" si="2"/>
        <v>-1</v>
      </c>
      <c r="J22" s="9">
        <f t="shared" si="3"/>
        <v>0</v>
      </c>
      <c r="K22" s="9">
        <f t="shared" si="4"/>
        <v>0</v>
      </c>
      <c r="L22" s="9">
        <f t="shared" si="5"/>
        <v>0</v>
      </c>
      <c r="M22" s="9">
        <f t="shared" si="6"/>
        <v>0</v>
      </c>
      <c r="N22" s="9">
        <f t="shared" si="7"/>
        <v>0</v>
      </c>
      <c r="O22" s="9">
        <f t="shared" si="8"/>
        <v>0</v>
      </c>
      <c r="P22" s="9">
        <f t="shared" si="48"/>
        <v>-11</v>
      </c>
      <c r="Q22" s="9">
        <f>O22*0.5*9.81</f>
        <v>0</v>
      </c>
      <c r="R22" s="9">
        <f t="shared" si="30"/>
        <v>0</v>
      </c>
      <c r="S22" s="9">
        <f>$M22*SIN(RADIANS(P22))+$N22*COS(RADIANS(P22))</f>
        <v>0</v>
      </c>
      <c r="T22" s="9">
        <f t="shared" si="31"/>
        <v>0</v>
      </c>
      <c r="U22" s="9">
        <f t="shared" si="32"/>
        <v>0</v>
      </c>
      <c r="V22" s="9">
        <f t="shared" si="33"/>
        <v>-0.98162718344766398</v>
      </c>
      <c r="W22" s="9">
        <f t="shared" si="34"/>
        <v>0.1908089953765448</v>
      </c>
      <c r="X22" s="9">
        <f t="shared" ref="X22:Y22" si="49">X21+T21</f>
        <v>-104.42598489878573</v>
      </c>
      <c r="Y22" s="9">
        <f t="shared" si="49"/>
        <v>-1708.7431242958942</v>
      </c>
      <c r="Z22" s="9">
        <f t="shared" si="11"/>
        <v>-104.42598489878573</v>
      </c>
      <c r="AA22" s="9">
        <f t="shared" si="12"/>
        <v>-1708.7431242958942</v>
      </c>
      <c r="AB22" s="9">
        <f>IF(O22=0,0,SUMPRODUCT(Z22:$Z$22, O22:$O$22)/SUM(O22:$O$22)-X22)</f>
        <v>0</v>
      </c>
      <c r="AC22" s="9">
        <f>IF(O22=0,0,SUMPRODUCT($AA22:$AA$22, $O$22:$O22)/SUM($O$22:O22)-Y22)</f>
        <v>0</v>
      </c>
      <c r="AD22" s="9"/>
      <c r="AE22" s="9"/>
      <c r="AF22" s="9"/>
      <c r="AG22" s="9"/>
      <c r="AH22" s="9"/>
      <c r="AI22" s="9">
        <f t="shared" si="13"/>
        <v>0</v>
      </c>
      <c r="AJ22" s="9">
        <f t="shared" si="14"/>
        <v>0</v>
      </c>
      <c r="AK22" s="9">
        <f>-(P22+90)</f>
        <v>-79</v>
      </c>
      <c r="AL22" s="9">
        <f t="shared" si="36"/>
        <v>-1.3788101090755203</v>
      </c>
      <c r="AM22" s="9">
        <f t="shared" si="37"/>
        <v>0</v>
      </c>
      <c r="AN22" s="9">
        <f t="shared" si="38"/>
        <v>0</v>
      </c>
      <c r="AO22" s="9">
        <f t="shared" si="16"/>
        <v>-469.58128007411221</v>
      </c>
      <c r="AP22" s="9">
        <f t="shared" si="17"/>
        <v>-204.15048715092053</v>
      </c>
      <c r="AQ22" s="9">
        <f t="shared" si="18"/>
        <v>98.784408832861118</v>
      </c>
      <c r="AR22" s="9">
        <f t="shared" si="39"/>
        <v>1.7241131837695953</v>
      </c>
      <c r="AS22" s="9">
        <f t="shared" si="19"/>
        <v>0</v>
      </c>
      <c r="AT22" s="9">
        <f t="shared" si="20"/>
        <v>0</v>
      </c>
      <c r="AU22" s="9">
        <v>0</v>
      </c>
      <c r="AV22" s="9">
        <f t="shared" si="40"/>
        <v>0</v>
      </c>
      <c r="AW22" s="9">
        <f t="shared" si="41"/>
        <v>0</v>
      </c>
      <c r="AX22" s="9">
        <f t="shared" si="42"/>
        <v>0</v>
      </c>
      <c r="AY22" s="9">
        <v>0</v>
      </c>
      <c r="AZ22" s="9">
        <f t="shared" si="43"/>
        <v>0</v>
      </c>
      <c r="BA22" s="9">
        <f t="shared" si="44"/>
        <v>0</v>
      </c>
      <c r="BB22" s="9">
        <f t="shared" si="45"/>
        <v>0</v>
      </c>
      <c r="BC22" s="9">
        <f>BA22+AY22+AU22+AS22+AM22+AW22</f>
        <v>0</v>
      </c>
      <c r="BD22" s="9">
        <f t="shared" ref="BD22" si="50">BB22+AZ22+AV22+AT22+AN22+AX22</f>
        <v>0</v>
      </c>
      <c r="BE22" s="9">
        <f t="shared" si="22"/>
        <v>0</v>
      </c>
      <c r="BF22" s="9">
        <f t="shared" si="23"/>
        <v>0</v>
      </c>
      <c r="BG22" s="9">
        <f t="shared" si="24"/>
        <v>0</v>
      </c>
      <c r="BH22" s="9">
        <f t="shared" si="25"/>
        <v>0</v>
      </c>
      <c r="BI22" s="9">
        <f t="shared" si="46"/>
        <v>0</v>
      </c>
      <c r="BJ22" s="9">
        <f t="shared" si="47"/>
        <v>0</v>
      </c>
      <c r="BK22" s="9">
        <f t="shared" si="26"/>
        <v>0</v>
      </c>
      <c r="BL22" s="9">
        <f t="shared" si="27"/>
        <v>0</v>
      </c>
      <c r="BM22" s="9">
        <f t="shared" si="28"/>
        <v>10000</v>
      </c>
      <c r="BN22" s="9">
        <f t="shared" si="29"/>
        <v>10000</v>
      </c>
      <c r="BO22" s="9"/>
      <c r="BP22" s="8"/>
      <c r="BQ22" s="8"/>
    </row>
    <row r="23" spans="2:69" x14ac:dyDescent="0.25">
      <c r="B23" s="59" t="s">
        <v>6</v>
      </c>
      <c r="C23" s="62" t="s">
        <v>8</v>
      </c>
      <c r="D23" s="63"/>
      <c r="E23" s="8"/>
      <c r="F23" s="8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13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14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2"/>
      <c r="BL23" s="12"/>
      <c r="BM23" s="11"/>
      <c r="BN23" s="11"/>
      <c r="BO23" s="8"/>
      <c r="BP23" s="8"/>
      <c r="BQ23" s="8"/>
    </row>
    <row r="24" spans="2:69" x14ac:dyDescent="0.25">
      <c r="B24" s="60"/>
      <c r="C24" s="62"/>
      <c r="D24" s="63"/>
      <c r="E24" s="1"/>
      <c r="F24" s="8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13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14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2"/>
      <c r="BL24" s="12"/>
      <c r="BM24" s="11"/>
      <c r="BN24" s="11"/>
      <c r="BO24" s="8"/>
      <c r="BP24" s="8"/>
      <c r="BQ24" s="8"/>
    </row>
    <row r="25" spans="2:69" ht="15.75" thickBot="1" x14ac:dyDescent="0.3">
      <c r="B25" s="61"/>
      <c r="C25" s="62"/>
      <c r="D25" s="63"/>
      <c r="E25" s="8"/>
      <c r="F25" s="8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13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14"/>
      <c r="AI25" s="11"/>
      <c r="AJ25" s="11"/>
      <c r="AK25" s="11"/>
      <c r="AL25" s="11"/>
      <c r="AM25" s="11"/>
      <c r="AN25" s="11"/>
      <c r="AO25" s="11"/>
      <c r="AP25" s="11"/>
      <c r="AQ25" s="11"/>
      <c r="AR25" s="11"/>
      <c r="AS25" s="11"/>
      <c r="AT25" s="11"/>
      <c r="AU25" s="11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2"/>
      <c r="BL25" s="12"/>
      <c r="BM25" s="11"/>
      <c r="BN25" s="11"/>
      <c r="BO25" s="8"/>
      <c r="BP25" s="8"/>
      <c r="BQ25" s="8"/>
    </row>
    <row r="26" spans="2:69" ht="15.75" thickBot="1" x14ac:dyDescent="0.3">
      <c r="B26" s="21" t="s">
        <v>61</v>
      </c>
      <c r="C26" s="64">
        <v>250</v>
      </c>
      <c r="D26" s="65"/>
      <c r="E26" s="8"/>
      <c r="F26" s="8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13"/>
      <c r="S26" s="9"/>
      <c r="T26" s="9"/>
      <c r="U26" s="9"/>
      <c r="V26" s="9"/>
      <c r="W26" s="9"/>
      <c r="X26" s="9"/>
      <c r="Y26" s="9"/>
      <c r="Z26" s="9"/>
      <c r="AA26" s="9"/>
      <c r="AB26" s="9">
        <v>417</v>
      </c>
      <c r="AC26" s="9"/>
      <c r="AD26" s="9"/>
      <c r="AE26" s="9">
        <v>0</v>
      </c>
      <c r="AF26" s="9"/>
      <c r="AG26" s="9"/>
      <c r="AH26" s="14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11"/>
      <c r="BD26" s="11"/>
      <c r="BE26" s="11"/>
      <c r="BF26" s="11"/>
      <c r="BG26" s="11"/>
      <c r="BH26" s="11"/>
      <c r="BI26" s="11"/>
      <c r="BJ26" s="11"/>
      <c r="BK26" s="12"/>
      <c r="BL26" s="12"/>
      <c r="BM26" s="11"/>
      <c r="BN26" s="11"/>
      <c r="BO26" s="8"/>
      <c r="BP26" s="8"/>
      <c r="BQ26" s="8"/>
    </row>
    <row r="27" spans="2:69" x14ac:dyDescent="0.25">
      <c r="B27" s="59" t="s">
        <v>9</v>
      </c>
      <c r="C27" s="66" t="str">
        <f>IF(C23="TENSION","-",IF(COUNTIF(BH5:BH22, "&gt;0")&lt;=0, "OK","NOK"))</f>
        <v>OK</v>
      </c>
      <c r="D27" s="67"/>
      <c r="E27" s="8"/>
      <c r="F27" s="8"/>
      <c r="G27" s="8"/>
      <c r="H27" s="8"/>
      <c r="I27" s="8"/>
      <c r="J27" s="8"/>
      <c r="K27" s="8"/>
      <c r="L27" s="8"/>
      <c r="P27" s="9"/>
      <c r="S27" s="9"/>
      <c r="T27" s="9" t="s">
        <v>7</v>
      </c>
      <c r="U27" s="9"/>
      <c r="V27" s="9"/>
      <c r="W27" s="9"/>
      <c r="X27" s="9"/>
      <c r="Y27" s="9"/>
      <c r="Z27" s="9"/>
      <c r="AA27" s="9"/>
      <c r="AB27" s="9">
        <v>691</v>
      </c>
      <c r="AC27" s="9">
        <f>736/2</f>
        <v>368</v>
      </c>
      <c r="AD27" s="9">
        <v>368</v>
      </c>
      <c r="AE27" s="9">
        <f>-AB5</f>
        <v>121.19941062492991</v>
      </c>
      <c r="AF27" s="9"/>
      <c r="AG27" s="9"/>
      <c r="AH27" s="8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11"/>
      <c r="AW27" s="11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8"/>
      <c r="BN27" s="12"/>
      <c r="BO27" s="11"/>
      <c r="BP27" s="11"/>
      <c r="BQ27" s="8"/>
    </row>
    <row r="28" spans="2:69" ht="15.75" thickBot="1" x14ac:dyDescent="0.3">
      <c r="B28" s="61"/>
      <c r="C28" s="68"/>
      <c r="D28" s="69"/>
      <c r="E28" s="8"/>
      <c r="F28" s="8"/>
      <c r="G28" s="8"/>
      <c r="H28" s="8"/>
      <c r="I28" s="8"/>
      <c r="J28" s="8"/>
      <c r="K28" s="8"/>
      <c r="L28" s="8"/>
      <c r="P28" s="9"/>
      <c r="T28" s="8" t="s">
        <v>8</v>
      </c>
      <c r="V28" s="9"/>
      <c r="W28" s="9"/>
      <c r="X28" s="9"/>
      <c r="Y28" s="9"/>
      <c r="Z28" s="9"/>
      <c r="AA28" s="9"/>
      <c r="AB28" s="9">
        <v>812</v>
      </c>
      <c r="AC28" s="9">
        <v>736</v>
      </c>
      <c r="AD28" s="9">
        <v>736</v>
      </c>
      <c r="AE28" s="9">
        <v>812</v>
      </c>
      <c r="AF28" s="9"/>
      <c r="AG28" s="9"/>
      <c r="AH28" s="8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11"/>
      <c r="AW28" s="11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8"/>
      <c r="BN28" s="12"/>
      <c r="BO28" s="11"/>
      <c r="BP28" s="11"/>
      <c r="BQ28" s="8"/>
    </row>
    <row r="29" spans="2:69" x14ac:dyDescent="0.25">
      <c r="B29" s="70" t="s">
        <v>10</v>
      </c>
      <c r="C29" s="72">
        <f>MIN(BM5:BN22,AA47)</f>
        <v>11.342424109944073</v>
      </c>
      <c r="D29" s="73"/>
      <c r="E29" s="8"/>
      <c r="F29" s="8"/>
      <c r="G29" s="8"/>
      <c r="H29" s="8"/>
      <c r="I29" s="8"/>
      <c r="J29" s="8"/>
      <c r="K29" s="8"/>
      <c r="L29" s="8"/>
      <c r="P29" s="9"/>
      <c r="S29" s="9"/>
      <c r="T29" s="9"/>
      <c r="U29" s="9"/>
      <c r="V29" s="9"/>
      <c r="W29" s="9"/>
      <c r="X29" s="9"/>
      <c r="Y29" s="9"/>
      <c r="Z29" s="9"/>
      <c r="AA29" s="9"/>
      <c r="AB29" s="9">
        <v>0</v>
      </c>
      <c r="AC29" s="9">
        <f>AB35*2</f>
        <v>-1406.3126046243947</v>
      </c>
      <c r="AD29" s="9">
        <f>AB37*2</f>
        <v>1380.3015210468934</v>
      </c>
      <c r="AE29" s="9">
        <f>Q5*2</f>
        <v>2472.1200000000003</v>
      </c>
      <c r="AF29" s="9"/>
      <c r="AG29" s="9"/>
      <c r="AH29" s="8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11"/>
      <c r="AW29" s="11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8"/>
      <c r="BN29" s="12"/>
      <c r="BO29" s="11"/>
      <c r="BP29" s="11"/>
      <c r="BQ29" s="8"/>
    </row>
    <row r="30" spans="2:69" x14ac:dyDescent="0.25">
      <c r="B30" s="60"/>
      <c r="C30" s="74"/>
      <c r="D30" s="75"/>
      <c r="E30" s="8"/>
      <c r="F30" s="8"/>
      <c r="G30" s="8"/>
      <c r="H30" s="8"/>
      <c r="I30" s="8"/>
      <c r="J30" s="8"/>
      <c r="K30" s="8"/>
      <c r="L30" s="8"/>
      <c r="P30" s="9"/>
      <c r="S30" s="9"/>
      <c r="T30" s="9">
        <f>IF(C23="COMPRESSION", AF5,0)</f>
        <v>-500</v>
      </c>
      <c r="U30" s="9">
        <f>IF(C23="COMPRESSION", AG5,0)</f>
        <v>0</v>
      </c>
      <c r="V30" s="9"/>
      <c r="W30" s="9"/>
      <c r="X30" s="9"/>
      <c r="Y30" s="9"/>
      <c r="Z30" s="9"/>
      <c r="AA30" s="9"/>
      <c r="AB30" s="9">
        <f>BH5</f>
        <v>-2064.013162597063</v>
      </c>
      <c r="AC30" s="9"/>
      <c r="AD30" s="9"/>
      <c r="AE30" s="9"/>
      <c r="AF30" s="9"/>
      <c r="AG30" s="9"/>
      <c r="AH30" s="8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11"/>
      <c r="AW30" s="11"/>
      <c r="AX30" s="9"/>
      <c r="AY30" s="9"/>
      <c r="AZ30" s="9"/>
      <c r="BA30" s="9"/>
      <c r="BB30" s="9"/>
      <c r="BC30" s="9">
        <v>1</v>
      </c>
      <c r="BD30" s="9">
        <f>BH16*SIN(RADIANS(BC30))</f>
        <v>0</v>
      </c>
      <c r="BE30" s="9"/>
      <c r="BF30" s="9"/>
      <c r="BG30" s="9"/>
      <c r="BH30" s="9"/>
      <c r="BI30" s="9"/>
      <c r="BJ30" s="9"/>
      <c r="BK30" s="9"/>
      <c r="BL30" s="9"/>
      <c r="BM30" s="8"/>
      <c r="BN30" s="12"/>
      <c r="BO30" s="11"/>
      <c r="BP30" s="11"/>
      <c r="BQ30" s="8"/>
    </row>
    <row r="31" spans="2:69" ht="15.75" thickBot="1" x14ac:dyDescent="0.3">
      <c r="B31" s="71"/>
      <c r="C31" s="76"/>
      <c r="D31" s="77"/>
      <c r="E31" s="8"/>
      <c r="F31" s="8"/>
      <c r="G31" s="8"/>
      <c r="H31" s="8"/>
      <c r="I31" s="8"/>
      <c r="J31" s="8"/>
      <c r="K31" s="8"/>
      <c r="L31" s="8"/>
      <c r="P31" s="9"/>
      <c r="S31" s="9"/>
      <c r="T31" s="9">
        <f>IF(C23="COMPRESSION", AD5,0)</f>
        <v>-574.00726497289793</v>
      </c>
      <c r="U31" s="9">
        <f>IF(C23="COMPRESSION", AE5,0)</f>
        <v>-1912.8936114468147</v>
      </c>
      <c r="V31" s="9"/>
      <c r="W31" s="9"/>
      <c r="X31" s="9"/>
      <c r="Y31" s="9"/>
      <c r="Z31" s="9"/>
      <c r="AA31" s="9"/>
      <c r="AB31" s="9">
        <v>100</v>
      </c>
      <c r="AC31" s="9"/>
      <c r="AD31" s="9"/>
      <c r="AE31" s="9"/>
      <c r="AF31" s="9"/>
      <c r="AG31" s="9"/>
      <c r="AH31" s="8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11"/>
      <c r="AW31" s="11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8"/>
      <c r="BN31" s="12"/>
      <c r="BO31" s="11"/>
      <c r="BP31" s="11"/>
      <c r="BQ31" s="8"/>
    </row>
    <row r="32" spans="2:69" x14ac:dyDescent="0.25">
      <c r="B32" s="59" t="s">
        <v>11</v>
      </c>
      <c r="C32" s="80" t="str">
        <f>IF(OR(C29&lt;=U52, C27="NOK",),"NOK","OK")</f>
        <v>OK</v>
      </c>
      <c r="D32" s="81"/>
      <c r="E32" s="8"/>
      <c r="F32" s="8"/>
      <c r="G32" s="8"/>
      <c r="H32" s="8"/>
      <c r="I32" s="8"/>
      <c r="J32" s="8"/>
      <c r="K32" s="8"/>
      <c r="L32" s="8"/>
      <c r="P32" s="9"/>
      <c r="S32" s="9"/>
      <c r="T32" s="9"/>
      <c r="U32" s="9"/>
      <c r="V32" s="9"/>
      <c r="W32" s="9"/>
      <c r="X32" s="9"/>
      <c r="Y32" s="9"/>
      <c r="Z32" s="9"/>
      <c r="AA32" s="9"/>
      <c r="AB32" s="9">
        <f>BF5</f>
        <v>2051.0076208083124</v>
      </c>
      <c r="AC32" s="9"/>
      <c r="AD32" s="9"/>
      <c r="AE32" s="9"/>
      <c r="AF32" s="9"/>
      <c r="AG32" s="9"/>
      <c r="AH32" s="8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11"/>
      <c r="AW32" s="11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8"/>
      <c r="BN32" s="12"/>
      <c r="BO32" s="11"/>
      <c r="BP32" s="11"/>
      <c r="BQ32" s="8"/>
    </row>
    <row r="33" spans="2:69" ht="15.75" thickBot="1" x14ac:dyDescent="0.3">
      <c r="B33" s="61"/>
      <c r="C33" s="82"/>
      <c r="D33" s="83"/>
      <c r="E33" s="8"/>
      <c r="F33" s="8"/>
      <c r="G33" s="8"/>
      <c r="H33" s="8"/>
      <c r="I33" s="8"/>
      <c r="J33" s="8"/>
      <c r="K33" s="8"/>
      <c r="L33" s="8"/>
      <c r="P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>
        <v>0</v>
      </c>
      <c r="AF33" s="9"/>
      <c r="AG33" s="9"/>
      <c r="AH33" s="8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11"/>
      <c r="AW33" s="11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8"/>
      <c r="BN33" s="12"/>
      <c r="BO33" s="11"/>
      <c r="BP33" s="11"/>
      <c r="BQ33" s="8"/>
    </row>
    <row r="34" spans="2:69" ht="15.75" thickBot="1" x14ac:dyDescent="0.3">
      <c r="B34" s="21" t="s">
        <v>12</v>
      </c>
      <c r="C34" s="84">
        <f>CablesWeight!$C$22</f>
        <v>18.66</v>
      </c>
      <c r="D34" s="85"/>
      <c r="E34" s="8"/>
      <c r="F34" s="8"/>
      <c r="G34" s="8"/>
      <c r="H34" s="8"/>
      <c r="I34" s="8"/>
      <c r="J34" s="8"/>
      <c r="K34" s="8"/>
      <c r="L34" s="8"/>
      <c r="P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8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11"/>
      <c r="AW34" s="11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8"/>
      <c r="BN34" s="12"/>
      <c r="BO34" s="11"/>
      <c r="BP34" s="11"/>
      <c r="BQ34" s="8"/>
    </row>
    <row r="35" spans="2:69" ht="15.75" thickBot="1" x14ac:dyDescent="0.3">
      <c r="B35" s="21" t="s">
        <v>13</v>
      </c>
      <c r="C35" s="78">
        <f>SUM(O5:O22)+$C$34+$C$48</f>
        <v>280.66000000000003</v>
      </c>
      <c r="D35" s="79"/>
      <c r="E35" s="8"/>
      <c r="F35" s="8"/>
      <c r="G35" s="8"/>
      <c r="H35" s="8"/>
      <c r="I35" s="8"/>
      <c r="J35" s="8"/>
      <c r="K35" s="8"/>
      <c r="L35" s="8"/>
      <c r="O35" s="13"/>
      <c r="P35" s="9"/>
      <c r="S35" s="9"/>
      <c r="T35" s="9"/>
      <c r="U35" s="9"/>
      <c r="V35" s="9"/>
      <c r="W35" s="9"/>
      <c r="X35" s="9"/>
      <c r="Y35" s="9"/>
      <c r="Z35" s="9"/>
      <c r="AA35" s="9"/>
      <c r="AB35" s="9">
        <f>(AB32*AB26+AB30*AB27)/AB28</f>
        <v>-703.15630231219734</v>
      </c>
      <c r="AC35" s="9"/>
      <c r="AD35" s="9"/>
      <c r="AE35" s="9">
        <f>AE29*AE27/AE28</f>
        <v>368.9895160025884</v>
      </c>
      <c r="AF35" s="9"/>
      <c r="AG35" s="9"/>
      <c r="AH35" s="8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11"/>
      <c r="AW35" s="11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8"/>
      <c r="BN35" s="12"/>
      <c r="BO35" s="11"/>
      <c r="BP35" s="11"/>
      <c r="BQ35" s="8"/>
    </row>
    <row r="36" spans="2:69" ht="15" customHeight="1" x14ac:dyDescent="0.25">
      <c r="B36" s="53" t="s">
        <v>64</v>
      </c>
      <c r="C36" s="54"/>
      <c r="D36" s="55"/>
      <c r="E36" s="8"/>
      <c r="F36" s="8"/>
      <c r="G36" s="8"/>
      <c r="H36" s="8"/>
      <c r="I36" s="8"/>
      <c r="J36" s="8"/>
      <c r="K36" s="8"/>
      <c r="L36" s="8"/>
      <c r="O36" s="13"/>
      <c r="P36" s="9"/>
      <c r="S36" s="9"/>
      <c r="T36" s="9"/>
      <c r="U36" s="9"/>
      <c r="V36" s="9"/>
      <c r="W36" s="9"/>
      <c r="X36" s="9"/>
      <c r="Y36" s="9"/>
      <c r="Z36" s="9"/>
      <c r="AA36" s="9"/>
      <c r="AB36" s="9">
        <v>0</v>
      </c>
      <c r="AC36" s="9"/>
      <c r="AD36" s="9"/>
      <c r="AE36" s="9">
        <v>0</v>
      </c>
      <c r="AF36" s="9"/>
      <c r="AG36" s="9"/>
      <c r="AH36" s="8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11"/>
      <c r="AW36" s="11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8"/>
      <c r="BN36" s="12"/>
      <c r="BO36" s="11"/>
      <c r="BP36" s="11"/>
      <c r="BQ36" s="8"/>
    </row>
    <row r="37" spans="2:69" ht="15.75" thickBot="1" x14ac:dyDescent="0.3">
      <c r="B37" s="56"/>
      <c r="C37" s="57"/>
      <c r="D37" s="58"/>
      <c r="E37" s="8"/>
      <c r="F37" s="8"/>
      <c r="G37" s="8"/>
      <c r="H37" s="8"/>
      <c r="I37" s="8"/>
      <c r="J37" s="8"/>
      <c r="K37" s="8"/>
      <c r="L37" s="8"/>
      <c r="O37" s="13"/>
      <c r="P37" s="9"/>
      <c r="S37" s="9"/>
      <c r="T37" s="9"/>
      <c r="U37" s="9"/>
      <c r="V37" s="9"/>
      <c r="W37" s="9"/>
      <c r="X37" s="9"/>
      <c r="Y37" s="9"/>
      <c r="Z37" s="9"/>
      <c r="AA37" s="9"/>
      <c r="AB37" s="9">
        <f>AB32+AB30-AB35</f>
        <v>690.15076052344671</v>
      </c>
      <c r="AC37" s="9"/>
      <c r="AD37" s="9"/>
      <c r="AE37" s="9">
        <f>AE29-AE35</f>
        <v>2103.1304839974118</v>
      </c>
      <c r="AF37" s="9"/>
      <c r="AG37" s="9"/>
      <c r="AH37" s="8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11"/>
      <c r="AW37" s="11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8"/>
      <c r="BN37" s="12"/>
      <c r="BO37" s="11"/>
      <c r="BP37" s="11"/>
      <c r="BQ37" s="8"/>
    </row>
    <row r="38" spans="2:69" x14ac:dyDescent="0.25">
      <c r="C38" s="10"/>
      <c r="E38" s="8"/>
      <c r="F38" s="8"/>
      <c r="G38" s="8"/>
      <c r="H38" s="8"/>
      <c r="I38" s="8"/>
      <c r="J38" s="8"/>
      <c r="K38" s="8"/>
      <c r="L38" s="8"/>
      <c r="O38" s="13"/>
      <c r="S38" s="9"/>
      <c r="T38" s="9"/>
      <c r="U38" s="9"/>
      <c r="V38" s="9"/>
      <c r="W38" s="9"/>
      <c r="X38" s="9"/>
      <c r="Y38" s="9"/>
      <c r="Z38" s="9"/>
      <c r="AA38" s="9"/>
      <c r="AB38" s="9">
        <f>-AB37</f>
        <v>-690.15076052344671</v>
      </c>
      <c r="AC38" s="9"/>
      <c r="AD38" s="9"/>
      <c r="AE38" s="9"/>
      <c r="AF38" s="9"/>
      <c r="AG38" s="9"/>
      <c r="AH38" s="8"/>
      <c r="AI38" s="8"/>
      <c r="AJ38" s="8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11"/>
      <c r="AW38" s="11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8"/>
      <c r="BJ38" s="8"/>
      <c r="BK38" s="8"/>
      <c r="BL38" s="8"/>
      <c r="BM38" s="8"/>
      <c r="BN38" s="12"/>
      <c r="BO38" s="11"/>
      <c r="BP38" s="11"/>
      <c r="BQ38" s="8"/>
    </row>
    <row r="39" spans="2:69" x14ac:dyDescent="0.25">
      <c r="B39" s="10"/>
      <c r="C39" s="10"/>
      <c r="D39" s="10"/>
      <c r="E39" s="9"/>
      <c r="F39" s="9"/>
      <c r="G39" s="9"/>
      <c r="H39" s="9"/>
      <c r="I39" s="9"/>
      <c r="J39" s="9"/>
      <c r="K39" s="9"/>
      <c r="L39" s="9"/>
      <c r="O39" s="13"/>
      <c r="S39" s="9"/>
      <c r="T39" s="9"/>
      <c r="U39" s="9"/>
      <c r="V39" s="9"/>
      <c r="W39" s="9"/>
      <c r="X39" s="9"/>
      <c r="Y39" s="9"/>
      <c r="Z39" s="9"/>
      <c r="AA39" s="9"/>
      <c r="AB39" s="9">
        <f>-(AB30-AB38)</f>
        <v>1373.8624020736163</v>
      </c>
      <c r="AC39" s="9"/>
      <c r="AD39" s="9"/>
      <c r="AE39" s="9"/>
      <c r="AF39" s="9"/>
      <c r="AG39" s="9"/>
      <c r="AH39" s="13"/>
      <c r="AI39" s="13"/>
      <c r="AJ39" s="8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11"/>
      <c r="BD39" s="11"/>
      <c r="BE39" s="11"/>
      <c r="BF39" s="11"/>
      <c r="BG39" s="11"/>
      <c r="BH39" s="11"/>
      <c r="BI39" s="8"/>
      <c r="BJ39" s="8"/>
      <c r="BK39" s="8"/>
      <c r="BL39" s="8"/>
      <c r="BM39" s="8"/>
      <c r="BN39" s="12"/>
      <c r="BO39" s="11"/>
      <c r="BP39" s="11"/>
      <c r="BQ39" s="8"/>
    </row>
    <row r="40" spans="2:69" x14ac:dyDescent="0.25">
      <c r="B40" s="9" t="s">
        <v>4</v>
      </c>
      <c r="C40" s="9">
        <v>0</v>
      </c>
      <c r="D40" s="9">
        <v>0</v>
      </c>
      <c r="E40" s="9">
        <v>-1</v>
      </c>
      <c r="F40" s="9">
        <v>0</v>
      </c>
      <c r="G40" s="9">
        <v>0</v>
      </c>
      <c r="H40" s="9">
        <v>0</v>
      </c>
      <c r="I40" s="9">
        <v>0</v>
      </c>
      <c r="J40" s="9">
        <v>0</v>
      </c>
      <c r="K40" s="9">
        <v>0</v>
      </c>
      <c r="L40" s="9"/>
      <c r="O40" s="13"/>
      <c r="S40" s="9"/>
      <c r="T40" s="9"/>
      <c r="U40" s="9"/>
      <c r="V40" s="9"/>
      <c r="W40" s="9"/>
      <c r="X40" s="9"/>
      <c r="Y40" s="9"/>
      <c r="Z40" s="9"/>
      <c r="AA40" s="9"/>
      <c r="AB40" s="9">
        <f>AB39-AB32</f>
        <v>-677.14521873469607</v>
      </c>
      <c r="AC40" s="9"/>
      <c r="AD40" s="9"/>
      <c r="AE40" s="9"/>
      <c r="AF40" s="9"/>
      <c r="AG40" s="9"/>
      <c r="AH40" s="13"/>
      <c r="AI40" s="13"/>
      <c r="AJ40" s="8"/>
      <c r="AK40" s="11"/>
      <c r="AL40" s="11"/>
      <c r="AM40" s="11"/>
      <c r="AN40" s="11"/>
      <c r="AO40" s="11"/>
      <c r="AP40" s="8"/>
      <c r="AQ40" s="13"/>
      <c r="AR40" s="8"/>
      <c r="AS40" s="13"/>
      <c r="AT40" s="8"/>
      <c r="AU40" s="8"/>
      <c r="AV40" s="11"/>
      <c r="AW40" s="11"/>
      <c r="AX40" s="11"/>
      <c r="AY40" s="11"/>
      <c r="AZ40" s="11"/>
      <c r="BA40" s="11"/>
      <c r="BB40" s="11"/>
      <c r="BC40" s="11"/>
      <c r="BD40" s="11"/>
      <c r="BE40" s="11"/>
      <c r="BF40" s="11"/>
      <c r="BG40" s="11"/>
      <c r="BH40" s="11"/>
      <c r="BI40" s="8"/>
      <c r="BJ40" s="12"/>
      <c r="BK40" s="8"/>
      <c r="BL40" s="8"/>
      <c r="BM40" s="8"/>
      <c r="BN40" s="12"/>
      <c r="BO40" s="9"/>
      <c r="BP40" s="9"/>
      <c r="BQ40" s="8"/>
    </row>
    <row r="41" spans="2:69" x14ac:dyDescent="0.25">
      <c r="B41" s="9" t="s">
        <v>2</v>
      </c>
      <c r="C41" s="9">
        <v>0</v>
      </c>
      <c r="D41" s="9">
        <v>0</v>
      </c>
      <c r="E41" s="9">
        <v>-230</v>
      </c>
      <c r="F41" s="9">
        <v>0</v>
      </c>
      <c r="G41" s="9">
        <v>0</v>
      </c>
      <c r="H41" s="9">
        <v>-286</v>
      </c>
      <c r="I41" s="9">
        <v>-99</v>
      </c>
      <c r="J41" s="9">
        <v>-166.8</v>
      </c>
      <c r="K41" s="9">
        <v>42</v>
      </c>
      <c r="L41" s="9"/>
      <c r="O41" s="13"/>
      <c r="S41" s="9"/>
      <c r="T41" s="9"/>
      <c r="U41" s="9"/>
      <c r="V41" s="9"/>
      <c r="W41" s="9"/>
      <c r="X41" s="9"/>
      <c r="Y41" s="9"/>
      <c r="Z41" s="9"/>
      <c r="AA41" s="9"/>
      <c r="AB41" s="9">
        <f>AB38*AB26</f>
        <v>-287792.86713827727</v>
      </c>
      <c r="AC41" s="9">
        <f>AC29*AC28/4</f>
        <v>-258761.51925088861</v>
      </c>
      <c r="AD41" s="9">
        <f>AD29*AD28/4</f>
        <v>253975.47987262838</v>
      </c>
      <c r="AE41" s="9">
        <f>AE37*AE27</f>
        <v>254898.1751278099</v>
      </c>
      <c r="AF41" s="9"/>
      <c r="AG41" s="9"/>
      <c r="AH41" s="13"/>
      <c r="AI41" s="13"/>
      <c r="AJ41" s="8"/>
      <c r="AK41" s="11"/>
      <c r="AL41" s="11"/>
      <c r="AM41" s="11"/>
      <c r="AN41" s="11"/>
      <c r="AO41" s="11"/>
      <c r="AP41" s="8"/>
      <c r="AQ41" s="13"/>
      <c r="AR41" s="8"/>
      <c r="AS41" s="13"/>
      <c r="AT41" s="8"/>
      <c r="AU41" s="8"/>
      <c r="AV41" s="11"/>
      <c r="AW41" s="11"/>
      <c r="AX41" s="11"/>
      <c r="AY41" s="11"/>
      <c r="AZ41" s="11"/>
      <c r="BA41" s="11"/>
      <c r="BB41" s="11"/>
      <c r="BC41" s="11"/>
      <c r="BD41" s="11"/>
      <c r="BE41" s="11"/>
      <c r="BF41" s="11"/>
      <c r="BG41" s="11"/>
      <c r="BH41" s="11"/>
      <c r="BI41" s="8"/>
      <c r="BJ41" s="8"/>
      <c r="BK41" s="8"/>
      <c r="BL41" s="8"/>
      <c r="BM41" s="8"/>
      <c r="BN41" s="12"/>
      <c r="BO41" s="8"/>
      <c r="BP41" s="8"/>
      <c r="BQ41" s="8"/>
    </row>
    <row r="42" spans="2:69" x14ac:dyDescent="0.25">
      <c r="B42" s="9" t="s">
        <v>3</v>
      </c>
      <c r="C42" s="9">
        <v>0</v>
      </c>
      <c r="D42" s="9">
        <v>0</v>
      </c>
      <c r="E42" s="9">
        <v>-686</v>
      </c>
      <c r="F42" s="9">
        <v>0</v>
      </c>
      <c r="G42" s="9">
        <v>0</v>
      </c>
      <c r="H42" s="9">
        <v>-611</v>
      </c>
      <c r="I42" s="9">
        <v>-303</v>
      </c>
      <c r="J42" s="9">
        <v>-345</v>
      </c>
      <c r="K42" s="9">
        <v>70</v>
      </c>
      <c r="L42" s="9"/>
      <c r="O42" s="13"/>
      <c r="S42" s="9"/>
      <c r="T42" s="9"/>
      <c r="U42" s="9">
        <v>0</v>
      </c>
      <c r="V42" s="9">
        <v>0</v>
      </c>
      <c r="W42" s="9"/>
      <c r="X42" s="9"/>
      <c r="Y42" s="9"/>
      <c r="Z42" s="9"/>
      <c r="AA42" s="9"/>
      <c r="AB42" s="9">
        <f>AB41+AB39*(AB27-AB26)</f>
        <v>88645.431029893574</v>
      </c>
      <c r="AC42" s="9"/>
      <c r="AD42" s="9"/>
      <c r="AE42" s="9">
        <f>AE35*AE28</f>
        <v>299619.48699410178</v>
      </c>
      <c r="AF42" s="9"/>
      <c r="AG42" s="9"/>
      <c r="AH42" s="13"/>
      <c r="AI42" s="13"/>
      <c r="AJ42" s="8"/>
      <c r="AK42" s="11"/>
      <c r="AL42" s="11"/>
      <c r="AM42" s="11"/>
      <c r="AN42" s="11"/>
      <c r="AO42" s="11"/>
      <c r="AP42" s="8"/>
      <c r="AQ42" s="13"/>
      <c r="AR42" s="8"/>
      <c r="AS42" s="13"/>
      <c r="AT42" s="8"/>
      <c r="AU42" s="8"/>
      <c r="AV42" s="11"/>
      <c r="AW42" s="11"/>
      <c r="AX42" s="11"/>
      <c r="AY42" s="11"/>
      <c r="AZ42" s="11"/>
      <c r="BA42" s="11"/>
      <c r="BB42" s="11"/>
      <c r="BC42" s="11"/>
      <c r="BD42" s="11"/>
      <c r="BE42" s="11"/>
      <c r="BF42" s="11"/>
      <c r="BG42" s="11"/>
      <c r="BH42" s="11"/>
      <c r="BI42" s="8"/>
      <c r="BJ42" s="8"/>
      <c r="BK42" s="8"/>
      <c r="BL42" s="8"/>
      <c r="BM42" s="8"/>
      <c r="BN42" s="12"/>
      <c r="BO42" s="8"/>
      <c r="BP42" s="8"/>
      <c r="BQ42" s="8"/>
    </row>
    <row r="43" spans="2:69" x14ac:dyDescent="0.25">
      <c r="B43" s="9" t="s">
        <v>0</v>
      </c>
      <c r="C43" s="9">
        <v>0</v>
      </c>
      <c r="D43" s="9">
        <v>0</v>
      </c>
      <c r="E43" s="9">
        <v>0</v>
      </c>
      <c r="F43" s="9">
        <v>0</v>
      </c>
      <c r="G43" s="9">
        <v>0</v>
      </c>
      <c r="H43" s="9">
        <v>0</v>
      </c>
      <c r="I43" s="9">
        <v>0</v>
      </c>
      <c r="J43" s="9">
        <v>0</v>
      </c>
      <c r="K43" s="9">
        <v>28</v>
      </c>
      <c r="L43" s="9"/>
      <c r="O43" s="13"/>
      <c r="S43" s="9"/>
      <c r="T43" s="9"/>
      <c r="U43" s="9">
        <v>0</v>
      </c>
      <c r="V43" s="9">
        <v>0</v>
      </c>
      <c r="W43" s="9"/>
      <c r="X43" s="9"/>
      <c r="Y43" s="9"/>
      <c r="Z43" s="9"/>
      <c r="AA43" s="9"/>
      <c r="AB43" s="9">
        <v>405906</v>
      </c>
      <c r="AC43" s="9">
        <v>471334</v>
      </c>
      <c r="AD43" s="9">
        <f>AC43</f>
        <v>471334</v>
      </c>
      <c r="AE43" s="9">
        <v>883752.36</v>
      </c>
      <c r="AF43" s="9"/>
      <c r="AG43" s="9"/>
      <c r="AH43" s="13"/>
      <c r="AI43" s="13"/>
      <c r="AJ43" s="8"/>
      <c r="AK43" s="11"/>
      <c r="AL43" s="11"/>
      <c r="AM43" s="11"/>
      <c r="AN43" s="11"/>
      <c r="AO43" s="11"/>
      <c r="AP43" s="8"/>
      <c r="AQ43" s="13"/>
      <c r="AR43" s="8"/>
      <c r="AS43" s="13"/>
      <c r="AT43" s="8"/>
      <c r="AU43" s="8"/>
      <c r="AV43" s="11"/>
      <c r="AW43" s="11"/>
      <c r="AX43" s="11"/>
      <c r="AY43" s="11"/>
      <c r="AZ43" s="11"/>
      <c r="BA43" s="11"/>
      <c r="BB43" s="11"/>
      <c r="BC43" s="11"/>
      <c r="BD43" s="11"/>
      <c r="BE43" s="11"/>
      <c r="BF43" s="11"/>
      <c r="BG43" s="11"/>
      <c r="BH43" s="11"/>
      <c r="BI43" s="8"/>
      <c r="BJ43" s="8"/>
      <c r="BK43" s="12"/>
      <c r="BL43" s="8"/>
      <c r="BM43" s="8"/>
      <c r="BN43" s="12"/>
      <c r="BO43" s="8"/>
      <c r="BP43" s="8"/>
      <c r="BQ43" s="8"/>
    </row>
    <row r="44" spans="2:69" x14ac:dyDescent="0.25">
      <c r="B44" s="9" t="s">
        <v>1</v>
      </c>
      <c r="C44" s="9">
        <v>0</v>
      </c>
      <c r="D44" s="9">
        <v>0</v>
      </c>
      <c r="E44" s="9">
        <v>0</v>
      </c>
      <c r="F44" s="9">
        <v>0</v>
      </c>
      <c r="G44" s="9">
        <v>0</v>
      </c>
      <c r="H44" s="9">
        <v>0</v>
      </c>
      <c r="I44" s="9">
        <v>0</v>
      </c>
      <c r="J44" s="9">
        <v>0</v>
      </c>
      <c r="K44" s="9">
        <v>10</v>
      </c>
      <c r="L44" s="9"/>
      <c r="O44" s="13"/>
      <c r="S44" s="9"/>
      <c r="T44" s="9"/>
      <c r="U44" s="9">
        <v>0</v>
      </c>
      <c r="V44" s="9">
        <v>-286</v>
      </c>
      <c r="W44" s="9"/>
      <c r="X44" s="9"/>
      <c r="Y44" s="9"/>
      <c r="Z44" s="9"/>
      <c r="AA44" s="9"/>
      <c r="AB44" s="9">
        <f>80-37.35</f>
        <v>42.65</v>
      </c>
      <c r="AC44" s="9">
        <v>40</v>
      </c>
      <c r="AD44" s="9">
        <f>AC44</f>
        <v>40</v>
      </c>
      <c r="AE44" s="9">
        <v>40</v>
      </c>
      <c r="AF44" s="9"/>
      <c r="AG44" s="9"/>
      <c r="AH44" s="13"/>
      <c r="AI44" s="13"/>
      <c r="AJ44" s="8"/>
      <c r="AK44" s="11"/>
      <c r="AL44" s="11"/>
      <c r="AM44" s="11"/>
      <c r="AN44" s="11"/>
      <c r="AO44" s="11"/>
      <c r="AP44" s="8"/>
      <c r="AQ44" s="13"/>
      <c r="AR44" s="8"/>
      <c r="AS44" s="13"/>
      <c r="AT44" s="8"/>
      <c r="AU44" s="8"/>
      <c r="AV44" s="11"/>
      <c r="AW44" s="11"/>
      <c r="AX44" s="11"/>
      <c r="AY44" s="11"/>
      <c r="AZ44" s="11"/>
      <c r="BA44" s="11"/>
      <c r="BB44" s="11"/>
      <c r="BC44" s="11"/>
      <c r="BD44" s="11"/>
      <c r="BE44" s="11"/>
      <c r="BF44" s="11"/>
      <c r="BG44" s="11"/>
      <c r="BH44" s="8"/>
      <c r="BI44" s="8"/>
      <c r="BJ44" s="8"/>
      <c r="BK44" s="8"/>
      <c r="BL44" s="8"/>
      <c r="BM44" s="8"/>
      <c r="BN44" s="12"/>
      <c r="BO44" s="8"/>
      <c r="BP44" s="8"/>
      <c r="BQ44" s="8"/>
    </row>
    <row r="45" spans="2:69" x14ac:dyDescent="0.25">
      <c r="B45" s="9" t="s">
        <v>4</v>
      </c>
      <c r="C45" s="9">
        <v>0</v>
      </c>
      <c r="D45" s="9">
        <v>0</v>
      </c>
      <c r="E45" s="9">
        <v>-1</v>
      </c>
      <c r="F45" s="9">
        <v>0</v>
      </c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/>
      <c r="O45" s="13"/>
      <c r="S45" s="9"/>
      <c r="T45" s="9"/>
      <c r="U45" s="9">
        <v>-99</v>
      </c>
      <c r="V45" s="9">
        <v>-166.8</v>
      </c>
      <c r="W45" s="9"/>
      <c r="X45" s="9"/>
      <c r="Y45" s="9"/>
      <c r="Z45" s="9"/>
      <c r="AA45" s="9"/>
      <c r="AB45" s="9">
        <f>MAX(ABS(AB42),ABS(AB41))*AB44/AB43</f>
        <v>30.239429285222503</v>
      </c>
      <c r="AC45" s="9">
        <f>ABS(AC41)*AC44/AC43</f>
        <v>21.959928140205342</v>
      </c>
      <c r="AD45" s="9">
        <f>ABS(AD41)*AD44/AD43</f>
        <v>21.553758470437387</v>
      </c>
      <c r="AE45" s="9">
        <f>MAX(ABS(AE42),ABS(AE41))*AE44/AE43</f>
        <v>13.561241839019328</v>
      </c>
      <c r="AF45" s="9"/>
      <c r="AG45" s="9"/>
      <c r="AH45" s="13"/>
      <c r="AI45" s="13"/>
      <c r="AJ45" s="8"/>
      <c r="AK45" s="11"/>
      <c r="AL45" s="11"/>
      <c r="AM45" s="11"/>
      <c r="AN45" s="8"/>
      <c r="AO45" s="11"/>
      <c r="AP45" s="8"/>
      <c r="AQ45" s="13"/>
      <c r="AR45" s="8"/>
      <c r="AS45" s="13"/>
      <c r="AT45" s="8"/>
      <c r="AU45" s="8"/>
      <c r="AV45" s="11"/>
      <c r="AW45" s="11"/>
      <c r="AX45" s="8"/>
      <c r="AY45" s="8"/>
      <c r="AZ45" s="8"/>
      <c r="BA45" s="8"/>
      <c r="BB45" s="8"/>
      <c r="BC45" s="8"/>
      <c r="BD45" s="8"/>
      <c r="BE45" s="8"/>
      <c r="BF45" s="8"/>
      <c r="BG45" s="8"/>
      <c r="BH45" s="8"/>
      <c r="BI45" s="8"/>
      <c r="BJ45" s="8"/>
      <c r="BK45" s="8"/>
      <c r="BL45" s="8"/>
      <c r="BM45" s="8"/>
      <c r="BN45" s="12"/>
      <c r="BO45" s="8"/>
      <c r="BP45" s="8"/>
      <c r="BQ45" s="8"/>
    </row>
    <row r="46" spans="2:69" x14ac:dyDescent="0.25">
      <c r="B46" s="9" t="s">
        <v>5</v>
      </c>
      <c r="C46" s="9">
        <v>0</v>
      </c>
      <c r="D46" s="9">
        <v>1</v>
      </c>
      <c r="E46" s="9">
        <v>2</v>
      </c>
      <c r="F46" s="9">
        <v>3</v>
      </c>
      <c r="G46" s="9">
        <v>5</v>
      </c>
      <c r="H46" s="9">
        <v>7.5</v>
      </c>
      <c r="I46" s="9">
        <v>8</v>
      </c>
      <c r="J46" s="9">
        <v>10</v>
      </c>
      <c r="K46" s="9"/>
      <c r="L46" s="9"/>
      <c r="O46" s="13"/>
      <c r="S46" s="9"/>
      <c r="T46" s="9"/>
      <c r="U46" s="9">
        <v>40</v>
      </c>
      <c r="V46" s="9"/>
      <c r="W46" s="9"/>
      <c r="X46" s="9"/>
      <c r="Y46" s="9"/>
      <c r="Z46" s="9"/>
      <c r="AA46" s="9"/>
      <c r="AB46" s="9">
        <f>700/AB45</f>
        <v>23.148585027763012</v>
      </c>
      <c r="AC46" s="9">
        <f t="shared" ref="AC46:AE46" si="51">700/AC45</f>
        <v>31.876242742270396</v>
      </c>
      <c r="AD46" s="9">
        <f t="shared" si="51"/>
        <v>32.476934403811896</v>
      </c>
      <c r="AE46" s="9">
        <f t="shared" si="51"/>
        <v>51.617691676724796</v>
      </c>
      <c r="AF46" s="9"/>
      <c r="AG46" s="9"/>
      <c r="AH46" s="13"/>
      <c r="AI46" s="13"/>
      <c r="AJ46" s="8"/>
      <c r="AK46" s="11"/>
      <c r="AL46" s="11"/>
      <c r="AM46" s="11"/>
      <c r="AN46" s="11"/>
      <c r="AO46" s="11"/>
      <c r="AP46" s="8"/>
      <c r="AQ46" s="13"/>
      <c r="AR46" s="8"/>
      <c r="AS46" s="13"/>
      <c r="AT46" s="8"/>
      <c r="AU46" s="8"/>
      <c r="AV46" s="11"/>
      <c r="AW46" s="11"/>
      <c r="AX46" s="11"/>
      <c r="AY46" s="11"/>
      <c r="AZ46" s="11"/>
      <c r="BA46" s="11"/>
      <c r="BB46" s="11"/>
      <c r="BC46" s="11"/>
      <c r="BD46" s="11"/>
      <c r="BE46" s="11"/>
      <c r="BF46" s="11"/>
      <c r="BG46" s="11"/>
      <c r="BH46" s="11"/>
      <c r="BI46" s="8"/>
      <c r="BJ46" s="8"/>
      <c r="BK46" s="8"/>
      <c r="BL46" s="8"/>
      <c r="BM46" s="8"/>
      <c r="BN46" s="12"/>
      <c r="BO46" s="8"/>
      <c r="BP46" s="8"/>
      <c r="BQ46" s="8"/>
    </row>
    <row r="47" spans="2:69" x14ac:dyDescent="0.25">
      <c r="B47" s="9" t="s">
        <v>57</v>
      </c>
      <c r="C47" s="9">
        <v>250</v>
      </c>
      <c r="D47" s="9">
        <v>375</v>
      </c>
      <c r="E47" s="9">
        <v>500</v>
      </c>
      <c r="F47" s="9"/>
      <c r="G47" s="9"/>
      <c r="H47" s="9"/>
      <c r="I47" s="9"/>
      <c r="J47" s="9"/>
      <c r="K47" s="9"/>
      <c r="L47" s="9"/>
      <c r="O47" s="13"/>
      <c r="S47" s="9"/>
      <c r="T47" s="9"/>
      <c r="U47" s="9">
        <v>-422</v>
      </c>
      <c r="V47" s="9">
        <v>-290</v>
      </c>
      <c r="W47" s="9"/>
      <c r="X47" s="9"/>
      <c r="Y47" s="9"/>
      <c r="Z47" s="9"/>
      <c r="AA47" s="9">
        <f>MIN(AB46:AE46)</f>
        <v>23.148585027763012</v>
      </c>
      <c r="AB47" s="9"/>
      <c r="AC47" s="9"/>
      <c r="AD47" s="9"/>
      <c r="AE47" s="9"/>
      <c r="AF47" s="9"/>
      <c r="AG47" s="9"/>
      <c r="AH47" s="13"/>
      <c r="AI47" s="13"/>
      <c r="AJ47" s="8"/>
      <c r="AK47" s="11"/>
      <c r="AL47" s="11"/>
      <c r="AM47" s="11"/>
      <c r="AN47" s="11"/>
      <c r="AO47" s="11"/>
      <c r="AP47" s="8"/>
      <c r="AQ47" s="13"/>
      <c r="AR47" s="8"/>
      <c r="AS47" s="13"/>
      <c r="AT47" s="8"/>
      <c r="AU47" s="8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8"/>
      <c r="BJ47" s="8"/>
      <c r="BK47" s="8"/>
      <c r="BL47" s="8"/>
      <c r="BM47" s="8"/>
      <c r="BN47" s="12"/>
      <c r="BO47" s="8"/>
      <c r="BP47" s="8"/>
      <c r="BQ47" s="8"/>
    </row>
    <row r="48" spans="2:69" x14ac:dyDescent="0.25">
      <c r="B48" s="9" t="s">
        <v>59</v>
      </c>
      <c r="C48" s="9">
        <f>VLOOKUP($C$4,$B$41:$K$46,10,FALSE)</f>
        <v>10</v>
      </c>
      <c r="D48" s="9"/>
      <c r="E48" s="9"/>
      <c r="F48" s="9"/>
      <c r="G48" s="9"/>
      <c r="H48" s="9"/>
      <c r="I48" s="9"/>
      <c r="J48" s="9"/>
      <c r="K48" s="9"/>
      <c r="L48" s="9"/>
      <c r="O48" s="13"/>
      <c r="S48" s="9"/>
      <c r="T48" s="9"/>
      <c r="U48" s="9">
        <v>-500</v>
      </c>
      <c r="V48" s="9">
        <v>0</v>
      </c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13"/>
      <c r="AI48" s="13"/>
      <c r="AJ48" s="8"/>
      <c r="AK48" s="11"/>
      <c r="AL48" s="11"/>
      <c r="AM48" s="11"/>
      <c r="AN48" s="11"/>
      <c r="AO48" s="11"/>
      <c r="AP48" s="8"/>
      <c r="AQ48" s="13"/>
      <c r="AR48" s="8"/>
      <c r="AS48" s="13"/>
      <c r="AT48" s="8"/>
      <c r="AU48" s="8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8"/>
      <c r="BJ48" s="8"/>
      <c r="BK48" s="8"/>
      <c r="BL48" s="8"/>
      <c r="BM48" s="8"/>
      <c r="BN48" s="12"/>
      <c r="BO48" s="8"/>
      <c r="BP48" s="8"/>
      <c r="BQ48" s="8"/>
    </row>
    <row r="49" spans="2:69" x14ac:dyDescent="0.25">
      <c r="B49" s="9" t="s">
        <v>60</v>
      </c>
      <c r="C49" s="9">
        <v>0</v>
      </c>
      <c r="D49" s="9">
        <v>5</v>
      </c>
      <c r="E49" s="9"/>
      <c r="F49" s="9"/>
      <c r="G49" s="9"/>
      <c r="H49" s="9"/>
      <c r="I49" s="9"/>
      <c r="J49" s="9"/>
      <c r="K49" s="9"/>
      <c r="L49" s="9"/>
      <c r="O49" s="13"/>
      <c r="S49" s="9"/>
      <c r="T49" s="9"/>
      <c r="U49" s="9">
        <v>700</v>
      </c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13"/>
      <c r="AI49" s="13"/>
      <c r="AJ49" s="8"/>
      <c r="AK49" s="11"/>
      <c r="AL49" s="11"/>
      <c r="AM49" s="11"/>
      <c r="AN49" s="11"/>
      <c r="AO49" s="11"/>
      <c r="AP49" s="8"/>
      <c r="AQ49" s="13"/>
      <c r="AR49" s="8"/>
      <c r="AS49" s="13"/>
      <c r="AT49" s="8"/>
      <c r="AU49" s="8"/>
      <c r="AV49" s="11"/>
      <c r="AW49" s="11"/>
      <c r="AX49" s="11"/>
      <c r="AY49" s="11"/>
      <c r="AZ49" s="11"/>
      <c r="BA49" s="11"/>
      <c r="BB49" s="11"/>
      <c r="BC49" s="11"/>
      <c r="BD49" s="11"/>
      <c r="BE49" s="11"/>
      <c r="BF49" s="11"/>
      <c r="BG49" s="11"/>
      <c r="BH49" s="11"/>
      <c r="BI49" s="8"/>
      <c r="BJ49" s="8"/>
      <c r="BK49" s="8"/>
      <c r="BL49" s="8"/>
      <c r="BM49" s="8"/>
      <c r="BN49" s="12"/>
      <c r="BO49" s="8"/>
      <c r="BP49" s="8"/>
      <c r="BQ49" s="8"/>
    </row>
    <row r="50" spans="2:69" x14ac:dyDescent="0.25">
      <c r="B50" s="9"/>
      <c r="C50" s="9"/>
      <c r="D50" s="9"/>
      <c r="E50" s="9"/>
      <c r="F50" s="9"/>
      <c r="G50" s="9"/>
      <c r="H50" s="9"/>
      <c r="I50" s="9"/>
      <c r="J50" s="9"/>
      <c r="K50" s="9"/>
      <c r="L50" s="9"/>
      <c r="O50" s="13"/>
      <c r="S50" s="9"/>
      <c r="T50" s="9"/>
      <c r="U50" s="9">
        <v>8</v>
      </c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8"/>
      <c r="AI50" s="13"/>
      <c r="AJ50" s="8"/>
      <c r="AK50" s="11"/>
      <c r="AL50" s="11"/>
      <c r="AM50" s="11"/>
      <c r="AN50" s="11"/>
      <c r="AO50" s="11"/>
      <c r="AP50" s="8"/>
      <c r="AQ50" s="13"/>
      <c r="AR50" s="8"/>
      <c r="AS50" s="13"/>
      <c r="AT50" s="8"/>
      <c r="AU50" s="8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8"/>
      <c r="BJ50" s="8"/>
      <c r="BK50" s="8"/>
      <c r="BL50" s="8"/>
      <c r="BM50" s="8"/>
      <c r="BN50" s="12"/>
      <c r="BO50" s="8"/>
      <c r="BP50" s="8"/>
      <c r="BQ50" s="8"/>
    </row>
    <row r="51" spans="2:69" x14ac:dyDescent="0.25">
      <c r="B51" s="9"/>
      <c r="C51" s="15">
        <v>0</v>
      </c>
      <c r="D51" s="9"/>
      <c r="E51" s="9"/>
      <c r="F51" s="9" t="s">
        <v>58</v>
      </c>
      <c r="G51" s="9"/>
      <c r="H51" s="9"/>
      <c r="I51" s="9"/>
      <c r="J51" s="9"/>
      <c r="K51" s="9"/>
      <c r="L51" s="9"/>
      <c r="O51" s="13"/>
      <c r="S51" s="9"/>
      <c r="T51" s="9"/>
      <c r="U51" s="9">
        <v>4</v>
      </c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13"/>
      <c r="AI51" s="13"/>
      <c r="AJ51" s="8"/>
      <c r="AK51" s="11"/>
      <c r="AL51" s="11"/>
      <c r="AM51" s="11"/>
      <c r="AN51" s="11"/>
      <c r="AO51" s="11"/>
      <c r="AP51" s="8"/>
      <c r="AQ51" s="13"/>
      <c r="AR51" s="8"/>
      <c r="AS51" s="13"/>
      <c r="AT51" s="8"/>
      <c r="AU51" s="8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8"/>
      <c r="BJ51" s="8"/>
      <c r="BK51" s="8"/>
      <c r="BL51" s="8"/>
      <c r="BM51" s="8"/>
      <c r="BN51" s="12"/>
      <c r="BO51" s="8"/>
      <c r="BP51" s="8"/>
      <c r="BQ51" s="8"/>
    </row>
    <row r="52" spans="2:69" x14ac:dyDescent="0.25">
      <c r="B52" s="8"/>
      <c r="C52" s="15">
        <v>1</v>
      </c>
      <c r="D52" s="8"/>
      <c r="E52" s="13"/>
      <c r="F52" s="8"/>
      <c r="G52" s="13"/>
      <c r="H52" s="8"/>
      <c r="I52" s="13"/>
      <c r="J52" s="8"/>
      <c r="K52" s="8"/>
      <c r="L52" s="8"/>
      <c r="O52" s="13"/>
      <c r="S52" s="9"/>
      <c r="T52" s="9"/>
      <c r="U52" s="9">
        <v>4</v>
      </c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13"/>
      <c r="AI52" s="13"/>
      <c r="AJ52" s="8"/>
      <c r="AK52" s="11"/>
      <c r="AL52" s="11"/>
      <c r="AM52" s="11"/>
      <c r="AN52" s="11"/>
      <c r="AO52" s="11"/>
      <c r="AP52" s="8"/>
      <c r="AQ52" s="13"/>
      <c r="AR52" s="8"/>
      <c r="AS52" s="13"/>
      <c r="AT52" s="8"/>
      <c r="AU52" s="8"/>
      <c r="AV52" s="11"/>
      <c r="AW52" s="11"/>
      <c r="AX52" s="11"/>
      <c r="AY52" s="11"/>
      <c r="AZ52" s="11"/>
      <c r="BA52" s="11"/>
      <c r="BB52" s="11"/>
      <c r="BC52" s="11"/>
      <c r="BD52" s="11"/>
      <c r="BE52" s="11"/>
      <c r="BF52" s="11"/>
      <c r="BG52" s="11"/>
      <c r="BH52" s="11"/>
      <c r="BI52" s="8"/>
      <c r="BJ52" s="8"/>
      <c r="BK52" s="8"/>
      <c r="BL52" s="8"/>
      <c r="BM52" s="8"/>
      <c r="BN52" s="12"/>
      <c r="BO52" s="8"/>
      <c r="BP52" s="8"/>
      <c r="BQ52" s="8"/>
    </row>
    <row r="53" spans="2:69" x14ac:dyDescent="0.25">
      <c r="B53" s="8"/>
      <c r="C53" s="15">
        <v>2</v>
      </c>
      <c r="D53" s="8"/>
      <c r="E53" s="13"/>
      <c r="F53" s="8"/>
      <c r="G53" s="13"/>
      <c r="H53" s="8"/>
      <c r="I53" s="13"/>
      <c r="J53" s="8"/>
      <c r="K53" s="8"/>
      <c r="L53" s="8"/>
      <c r="S53" s="9"/>
      <c r="T53" s="9"/>
      <c r="U53" s="9">
        <v>2</v>
      </c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13"/>
      <c r="AI53" s="13"/>
      <c r="AJ53" s="8"/>
      <c r="AK53" s="11"/>
      <c r="AL53" s="11"/>
      <c r="AM53" s="11"/>
      <c r="AN53" s="11"/>
      <c r="AO53" s="11"/>
      <c r="AP53" s="8"/>
      <c r="AQ53" s="13"/>
      <c r="AR53" s="8"/>
      <c r="AS53" s="13"/>
      <c r="AT53" s="8"/>
      <c r="AU53" s="8"/>
      <c r="AV53" s="11"/>
      <c r="AW53" s="11"/>
      <c r="AX53" s="11"/>
      <c r="AY53" s="11"/>
      <c r="AZ53" s="11"/>
      <c r="BA53" s="11"/>
      <c r="BB53" s="11"/>
      <c r="BC53" s="11"/>
      <c r="BD53" s="11"/>
      <c r="BE53" s="11"/>
      <c r="BF53" s="11"/>
      <c r="BG53" s="11"/>
      <c r="BH53" s="11"/>
      <c r="BI53" s="8"/>
      <c r="BJ53" s="8"/>
      <c r="BK53" s="8"/>
      <c r="BL53" s="8"/>
      <c r="BM53" s="8"/>
      <c r="BN53" s="12"/>
      <c r="BO53" s="8"/>
      <c r="BP53" s="8"/>
      <c r="BQ53" s="8"/>
    </row>
    <row r="54" spans="2:69" x14ac:dyDescent="0.25">
      <c r="B54" s="8"/>
      <c r="C54" s="15">
        <v>3</v>
      </c>
      <c r="D54" s="8"/>
      <c r="E54" s="13"/>
      <c r="F54" s="8"/>
      <c r="G54" s="13"/>
      <c r="H54" s="8"/>
      <c r="I54" s="13"/>
      <c r="J54" s="8"/>
      <c r="K54" s="8"/>
      <c r="L54" s="8"/>
      <c r="S54" s="9"/>
      <c r="T54" s="9"/>
      <c r="U54" s="9">
        <f>IF(C23="COMPRESSION",C26*10,0)</f>
        <v>2500</v>
      </c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13"/>
      <c r="AI54" s="13"/>
      <c r="AJ54" s="8"/>
      <c r="AK54" s="11"/>
      <c r="AL54" s="11"/>
      <c r="AM54" s="11"/>
      <c r="AN54" s="11"/>
      <c r="AO54" s="11"/>
      <c r="AP54" s="8"/>
      <c r="AQ54" s="13"/>
      <c r="AR54" s="8"/>
      <c r="AS54" s="13"/>
      <c r="AT54" s="8"/>
      <c r="AU54" s="8"/>
      <c r="AV54" s="11"/>
      <c r="AW54" s="11"/>
      <c r="AX54" s="11"/>
      <c r="AY54" s="11"/>
      <c r="AZ54" s="11"/>
      <c r="BA54" s="11"/>
      <c r="BB54" s="11"/>
      <c r="BC54" s="11"/>
      <c r="BD54" s="11"/>
      <c r="BE54" s="11"/>
      <c r="BF54" s="11"/>
      <c r="BG54" s="11"/>
      <c r="BH54" s="11"/>
      <c r="BI54" s="8"/>
      <c r="BJ54" s="8"/>
      <c r="BK54" s="8"/>
      <c r="BL54" s="8"/>
      <c r="BM54" s="8"/>
      <c r="BN54" s="12"/>
      <c r="BO54" s="8"/>
      <c r="BP54" s="8"/>
      <c r="BQ54" s="8"/>
    </row>
    <row r="55" spans="2:69" x14ac:dyDescent="0.25">
      <c r="B55" s="8"/>
      <c r="C55" s="15">
        <v>5</v>
      </c>
      <c r="D55" s="8"/>
      <c r="E55" s="13"/>
      <c r="F55" s="8"/>
      <c r="G55" s="13"/>
      <c r="H55" s="8"/>
      <c r="I55" s="13"/>
      <c r="J55" s="8"/>
      <c r="K55" s="8"/>
      <c r="L55" s="8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13"/>
      <c r="AI55" s="13"/>
      <c r="AJ55" s="8"/>
      <c r="AK55" s="11"/>
      <c r="AL55" s="11"/>
      <c r="AM55" s="11"/>
      <c r="AN55" s="11"/>
      <c r="AO55" s="11"/>
      <c r="AP55" s="8"/>
      <c r="AQ55" s="13"/>
      <c r="AR55" s="8"/>
      <c r="AS55" s="13"/>
      <c r="AT55" s="8"/>
      <c r="AU55" s="8"/>
      <c r="AV55" s="11"/>
      <c r="AW55" s="11"/>
      <c r="AX55" s="11"/>
      <c r="AY55" s="11"/>
      <c r="AZ55" s="11"/>
      <c r="BA55" s="11"/>
      <c r="BB55" s="11"/>
      <c r="BC55" s="11"/>
      <c r="BD55" s="11"/>
      <c r="BE55" s="11"/>
      <c r="BF55" s="11"/>
      <c r="BG55" s="11"/>
      <c r="BH55" s="11"/>
      <c r="BI55" s="8"/>
      <c r="BJ55" s="8"/>
      <c r="BK55" s="8"/>
      <c r="BL55" s="8"/>
      <c r="BM55" s="8"/>
      <c r="BN55" s="12"/>
      <c r="BO55" s="8"/>
      <c r="BP55" s="8"/>
      <c r="BQ55" s="8"/>
    </row>
    <row r="56" spans="2:69" x14ac:dyDescent="0.25">
      <c r="B56" s="8"/>
      <c r="C56" s="13">
        <v>7.5</v>
      </c>
      <c r="D56" s="8"/>
      <c r="E56" s="13"/>
      <c r="F56" s="8"/>
      <c r="G56" s="13"/>
      <c r="H56" s="8"/>
      <c r="I56" s="13"/>
      <c r="J56" s="8"/>
      <c r="K56" s="8"/>
      <c r="L56" s="8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13"/>
      <c r="AI56" s="13"/>
      <c r="AJ56" s="8"/>
      <c r="AK56" s="11"/>
      <c r="AL56" s="11"/>
      <c r="AM56" s="11"/>
      <c r="AN56" s="11"/>
      <c r="AO56" s="11"/>
      <c r="AP56" s="8"/>
      <c r="AQ56" s="13"/>
      <c r="AR56" s="8"/>
      <c r="AS56" s="13"/>
      <c r="AT56" s="8"/>
      <c r="AU56" s="8"/>
      <c r="AV56" s="11"/>
      <c r="AW56" s="11"/>
      <c r="AX56" s="11"/>
      <c r="AY56" s="11"/>
      <c r="AZ56" s="11"/>
      <c r="BA56" s="11"/>
      <c r="BB56" s="11"/>
      <c r="BC56" s="11"/>
      <c r="BD56" s="11"/>
      <c r="BE56" s="11"/>
      <c r="BF56" s="11"/>
      <c r="BG56" s="11"/>
      <c r="BH56" s="11"/>
      <c r="BI56" s="8"/>
      <c r="BJ56" s="8"/>
      <c r="BK56" s="8"/>
      <c r="BL56" s="8"/>
      <c r="BM56" s="8"/>
      <c r="BN56" s="12"/>
      <c r="BO56" s="8"/>
      <c r="BP56" s="8"/>
      <c r="BQ56" s="8"/>
    </row>
    <row r="57" spans="2:69" x14ac:dyDescent="0.25">
      <c r="B57" s="8"/>
      <c r="C57" s="15">
        <v>10</v>
      </c>
      <c r="D57" s="8"/>
      <c r="E57" s="13"/>
      <c r="F57" s="8"/>
      <c r="G57" s="13"/>
      <c r="H57" s="8"/>
      <c r="I57" s="13"/>
      <c r="J57" s="8"/>
      <c r="K57" s="8"/>
      <c r="L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13"/>
      <c r="AR57" s="8"/>
      <c r="AS57" s="13"/>
      <c r="AT57" s="8"/>
      <c r="AU57" s="8"/>
      <c r="AV57" s="11"/>
      <c r="AW57" s="11"/>
      <c r="AX57" s="11"/>
      <c r="AY57" s="8"/>
      <c r="AZ57" s="8"/>
      <c r="BA57" s="8"/>
      <c r="BB57" s="8"/>
      <c r="BC57" s="8"/>
      <c r="BD57" s="8"/>
      <c r="BE57" s="8"/>
      <c r="BF57" s="8"/>
      <c r="BG57" s="8"/>
      <c r="BH57" s="8"/>
      <c r="BI57" s="8"/>
      <c r="BJ57" s="8"/>
      <c r="BK57" s="8"/>
      <c r="BL57" s="8"/>
      <c r="BM57" s="8"/>
      <c r="BN57" s="8"/>
      <c r="BO57" s="8"/>
      <c r="BP57" s="8"/>
      <c r="BQ57" s="8"/>
    </row>
    <row r="58" spans="2:69" x14ac:dyDescent="0.25">
      <c r="B58" s="8"/>
      <c r="C58" s="13"/>
      <c r="D58" s="8"/>
      <c r="E58" s="13"/>
      <c r="F58" s="8"/>
      <c r="G58" s="13"/>
      <c r="H58" s="8"/>
      <c r="I58" s="13"/>
      <c r="J58" s="8"/>
      <c r="K58" s="8"/>
      <c r="L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13"/>
      <c r="AR58" s="8"/>
      <c r="AS58" s="13"/>
      <c r="AT58" s="8"/>
      <c r="AU58" s="8"/>
      <c r="AV58" s="8"/>
      <c r="AW58" s="11"/>
      <c r="AX58" s="11"/>
      <c r="AY58" s="8"/>
      <c r="AZ58" s="8"/>
      <c r="BA58" s="8"/>
      <c r="BB58" s="8"/>
      <c r="BC58" s="8"/>
      <c r="BD58" s="8"/>
      <c r="BE58" s="8"/>
      <c r="BF58" s="8"/>
      <c r="BG58" s="8"/>
      <c r="BH58" s="8"/>
      <c r="BI58" s="8"/>
      <c r="BJ58" s="8"/>
      <c r="BK58" s="8"/>
      <c r="BL58" s="8"/>
      <c r="BM58" s="8"/>
      <c r="BN58" s="8"/>
      <c r="BO58" s="8"/>
      <c r="BP58" s="8"/>
      <c r="BQ58" s="8"/>
    </row>
    <row r="59" spans="2:69" x14ac:dyDescent="0.25">
      <c r="B59" s="8"/>
      <c r="C59" s="13"/>
      <c r="D59" s="8"/>
      <c r="E59" s="13"/>
      <c r="F59" s="8"/>
      <c r="G59" s="13"/>
      <c r="H59" s="8"/>
      <c r="I59" s="13"/>
      <c r="J59" s="8"/>
      <c r="K59" s="8"/>
      <c r="L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13"/>
      <c r="AR59" s="8"/>
      <c r="AS59" s="13"/>
      <c r="AT59" s="12"/>
      <c r="AU59" s="8"/>
      <c r="AV59" s="8"/>
      <c r="AW59" s="11"/>
      <c r="AX59" s="11"/>
      <c r="AY59" s="8"/>
      <c r="AZ59" s="8"/>
      <c r="BA59" s="8"/>
      <c r="BB59" s="8"/>
      <c r="BC59" s="8"/>
      <c r="BD59" s="8"/>
      <c r="BE59" s="8"/>
      <c r="BF59" s="8"/>
      <c r="BG59" s="8"/>
      <c r="BH59" s="8"/>
      <c r="BI59" s="8"/>
      <c r="BJ59" s="8"/>
      <c r="BK59" s="8"/>
      <c r="BL59" s="8"/>
      <c r="BM59" s="8"/>
      <c r="BN59" s="8"/>
      <c r="BO59" s="8"/>
      <c r="BP59" s="8"/>
      <c r="BQ59" s="8"/>
    </row>
    <row r="60" spans="2:69" x14ac:dyDescent="0.25">
      <c r="B60" s="8"/>
      <c r="C60" s="13"/>
      <c r="D60" s="8"/>
      <c r="E60" s="13"/>
      <c r="F60" s="8"/>
      <c r="G60" s="13"/>
      <c r="H60" s="8"/>
      <c r="I60" s="13"/>
      <c r="J60" s="8"/>
      <c r="K60" s="8"/>
      <c r="L60" s="8"/>
      <c r="X60" s="16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13"/>
      <c r="AR60" s="8"/>
      <c r="AS60" s="13"/>
      <c r="AT60" s="8"/>
      <c r="AU60" s="8"/>
      <c r="AV60" s="8"/>
      <c r="AW60" s="11"/>
      <c r="AX60" s="11"/>
      <c r="AY60" s="8"/>
      <c r="AZ60" s="8"/>
      <c r="BA60" s="8"/>
      <c r="BB60" s="8"/>
      <c r="BC60" s="8"/>
      <c r="BD60" s="8"/>
      <c r="BE60" s="8"/>
      <c r="BF60" s="8"/>
      <c r="BG60" s="8"/>
      <c r="BH60" s="8"/>
      <c r="BI60" s="8"/>
      <c r="BJ60" s="8"/>
      <c r="BK60" s="8"/>
      <c r="BL60" s="8"/>
      <c r="BM60" s="8"/>
      <c r="BN60" s="8"/>
      <c r="BO60" s="8"/>
      <c r="BP60" s="8"/>
      <c r="BQ60" s="8"/>
    </row>
    <row r="61" spans="2:69" x14ac:dyDescent="0.25">
      <c r="B61" s="8"/>
      <c r="C61" s="13"/>
      <c r="D61" s="8"/>
      <c r="E61" s="13"/>
      <c r="F61" s="8"/>
      <c r="G61" s="13"/>
      <c r="H61" s="8"/>
      <c r="I61" s="13"/>
      <c r="J61" s="8"/>
      <c r="K61" s="8"/>
      <c r="L61" s="8"/>
      <c r="X61" s="9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13"/>
      <c r="AR61" s="8"/>
      <c r="AS61" s="13"/>
      <c r="AT61" s="8"/>
      <c r="AU61" s="8"/>
      <c r="AV61" s="8"/>
      <c r="AW61" s="11"/>
      <c r="AX61" s="11"/>
      <c r="AY61" s="8"/>
      <c r="AZ61" s="8"/>
      <c r="BA61" s="8"/>
      <c r="BB61" s="8"/>
      <c r="BC61" s="8"/>
      <c r="BD61" s="8"/>
      <c r="BE61" s="8"/>
      <c r="BF61" s="8"/>
      <c r="BG61" s="8"/>
      <c r="BH61" s="8"/>
      <c r="BI61" s="8"/>
      <c r="BJ61" s="8"/>
      <c r="BK61" s="8"/>
      <c r="BL61" s="8"/>
      <c r="BM61" s="8"/>
      <c r="BN61" s="8"/>
      <c r="BO61" s="8"/>
      <c r="BP61" s="8"/>
      <c r="BQ61" s="8"/>
    </row>
    <row r="62" spans="2:69" x14ac:dyDescent="0.25">
      <c r="B62" s="8"/>
      <c r="C62" s="13"/>
      <c r="D62" s="8"/>
      <c r="E62" s="13"/>
      <c r="F62" s="8"/>
      <c r="G62" s="13"/>
      <c r="H62" s="8"/>
      <c r="I62" s="13"/>
      <c r="J62" s="8"/>
      <c r="K62" s="8"/>
      <c r="L62" s="8"/>
      <c r="X62" s="9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13"/>
      <c r="AR62" s="8"/>
      <c r="AS62" s="13"/>
      <c r="AT62" s="8"/>
      <c r="AU62" s="8"/>
      <c r="AV62" s="8"/>
      <c r="AW62" s="11"/>
      <c r="AX62" s="11"/>
      <c r="AY62" s="8"/>
      <c r="AZ62" s="8"/>
      <c r="BA62" s="8"/>
      <c r="BB62" s="8"/>
      <c r="BC62" s="8"/>
      <c r="BD62" s="8"/>
      <c r="BE62" s="8"/>
      <c r="BF62" s="8"/>
      <c r="BG62" s="8"/>
      <c r="BH62" s="8"/>
      <c r="BI62" s="8"/>
      <c r="BJ62" s="8"/>
      <c r="BK62" s="8"/>
      <c r="BL62" s="8"/>
      <c r="BM62" s="8"/>
      <c r="BN62" s="8"/>
      <c r="BO62" s="8"/>
      <c r="BP62" s="8"/>
      <c r="BQ62" s="8"/>
    </row>
    <row r="63" spans="2:69" x14ac:dyDescent="0.25">
      <c r="B63" s="8"/>
      <c r="C63" s="8"/>
      <c r="D63" s="8"/>
      <c r="E63" s="8"/>
      <c r="F63" s="8"/>
      <c r="X63" s="10"/>
      <c r="AW63" s="17"/>
      <c r="AX63" s="17"/>
    </row>
    <row r="64" spans="2:69" x14ac:dyDescent="0.25">
      <c r="B64" s="8"/>
      <c r="C64" s="8"/>
      <c r="D64" s="8"/>
      <c r="E64" s="8"/>
      <c r="F64" s="8"/>
      <c r="X64" s="10"/>
      <c r="AX64" s="17"/>
    </row>
    <row r="65" spans="24:24" x14ac:dyDescent="0.25">
      <c r="X65" s="10"/>
    </row>
    <row r="79" spans="24:24" x14ac:dyDescent="0.25">
      <c r="X79" s="18"/>
    </row>
    <row r="80" spans="24:24" x14ac:dyDescent="0.25">
      <c r="X80" s="18"/>
    </row>
  </sheetData>
  <sheetProtection algorithmName="SHA-512" hashValue="q/VJxEu1ebItAIxfkNSQWujgda8i3VyDwD97XwHQ6w9NaeiqqQFB7dYRvYk3Lq8UjrBKaRVZ+L2Ycb0++d9weg==" saltValue="kQCM98yfhYPUo6RdoqCrMw==" spinCount="100000" sheet="1" objects="1" scenarios="1"/>
  <protectedRanges>
    <protectedRange sqref="D4" name="Plage2"/>
  </protectedRanges>
  <mergeCells count="13">
    <mergeCell ref="B3:B4"/>
    <mergeCell ref="B36:D37"/>
    <mergeCell ref="B23:B25"/>
    <mergeCell ref="C23:D25"/>
    <mergeCell ref="C26:D26"/>
    <mergeCell ref="C27:D28"/>
    <mergeCell ref="B27:B28"/>
    <mergeCell ref="B29:B31"/>
    <mergeCell ref="C29:D31"/>
    <mergeCell ref="C35:D35"/>
    <mergeCell ref="C32:D33"/>
    <mergeCell ref="B32:B33"/>
    <mergeCell ref="C34:D34"/>
  </mergeCells>
  <phoneticPr fontId="3" type="noConversion"/>
  <conditionalFormatting sqref="C26:C27">
    <cfRule type="containsText" dxfId="6" priority="1" operator="containsText" text="NOK">
      <formula>NOT(ISERROR(SEARCH("NOK",C26)))</formula>
    </cfRule>
    <cfRule type="containsText" dxfId="5" priority="2" operator="containsText" text="OK">
      <formula>NOT(ISERROR(SEARCH("OK",C26)))</formula>
    </cfRule>
  </conditionalFormatting>
  <conditionalFormatting sqref="C29">
    <cfRule type="cellIs" dxfId="4" priority="16" operator="greaterThan">
      <formula>$U$52</formula>
    </cfRule>
    <cfRule type="cellIs" dxfId="3" priority="17" operator="lessThan">
      <formula>$U$53</formula>
    </cfRule>
    <cfRule type="cellIs" dxfId="2" priority="18" operator="between">
      <formula>$U$53</formula>
      <formula>$U$52</formula>
    </cfRule>
  </conditionalFormatting>
  <conditionalFormatting sqref="C32 C35">
    <cfRule type="containsText" dxfId="1" priority="10" operator="containsText" text="NOK">
      <formula>NOT(ISERROR(SEARCH("NOK",C32)))</formula>
    </cfRule>
    <cfRule type="containsText" dxfId="0" priority="11" operator="containsText" text="OK">
      <formula>NOT(ISERROR(SEARCH("OK",C32)))</formula>
    </cfRule>
  </conditionalFormatting>
  <conditionalFormatting sqref="BI23:BJ26">
    <cfRule type="colorScale" priority="1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BM23:BN26">
    <cfRule type="colorScale" priority="8">
      <colorScale>
        <cfvo type="num" val="2"/>
        <cfvo type="num" val="4"/>
        <cfvo type="num" val="6"/>
        <color rgb="FFFF0000"/>
        <color rgb="FFFFFF00"/>
        <color rgb="FF00B050"/>
      </colorScale>
    </cfRule>
  </conditionalFormatting>
  <dataValidations count="12">
    <dataValidation type="list" showInputMessage="1" showErrorMessage="1" promptTitle="Choose the cabinet" prompt="[UM210] or void [-]" sqref="C5:C22" xr:uid="{EE8F046C-BB4D-45BC-80EB-8A0779E6D9DD}">
      <formula1>$B$40:$B$41</formula1>
    </dataValidation>
    <dataValidation type="list" allowBlank="1" showInputMessage="1" showErrorMessage="1" errorTitle="Wrong Mode value" error="Choose the hanging mode [TENSION] or [COMPRESSION]" promptTitle="Choose the hanging mode" prompt="[TENSION - COMPRESSION]" sqref="C23:D25" xr:uid="{FB5F6C4B-DBD2-4E1D-BFE3-EB3EF7BDADF9}">
      <formula1>$T$27:$T$28</formula1>
    </dataValidation>
    <dataValidation type="list" showInputMessage="1" showErrorMessage="1" errorTitle="Wrong angle value [°]" error="Choose a valid angle value [0 - 1 - 2 - 3 - 5 - 7,5 - 10]" promptTitle="Choose the cabinet angle [°]" prompt="[0 - 1 - 2 - 3 - 5 - 7.5 - 10]" sqref="D6:D22" xr:uid="{E08535C5-FDC7-4F54-9C84-DCEE6C67F0FD}">
      <formula1>$C$51:$C$57</formula1>
    </dataValidation>
    <dataValidation type="list" showInputMessage="1" showErrorMessage="1" promptTitle="Choose the bumper type:" prompt="[UMTRUSS - UMRAIL]" sqref="C4" xr:uid="{EABF964D-8C0C-474D-85FD-2850AD3044ED}">
      <formula1>$B$43:$B$44</formula1>
    </dataValidation>
    <dataValidation type="list" showInputMessage="1" showErrorMessage="1" errorTitle="Wrong Lever Hoist Force value" error="Choose a value of [250] daN, [350] daN or [500] daN._x000a_[1000]dAN Lever Hoist usage is prohibited." promptTitle="Choose lever hoist force [daN]" prompt="Only for compression mode._x000a_Select the force applied by the Lever Hoist._x000a_[250] daN should be suitable for most applications." sqref="C26:D26" xr:uid="{64723830-C059-4189-87B6-7C21AA31133D}">
      <formula1>$C$47:$E$47</formula1>
    </dataValidation>
    <dataValidation type="list" showInputMessage="1" showErrorMessage="1" errorTitle="Wrong angle value [°]" error="Choose a valid angle value [0 - 5]" promptTitle="Choose the 1st cabinet angle [°]" prompt="UMTRUSS: [0-5]_x000a_UMRAIL: [0]" sqref="D5" xr:uid="{B8F6FBED-2970-4BA9-A097-760E506A7FA3}">
      <formula1>$C$49:$D$49</formula1>
    </dataValidation>
    <dataValidation allowBlank="1" showInputMessage="1" showErrorMessage="1" promptTitle="Choose the global Ver. angle [°]" prompt="Type a value with the keyboard or Copy/Paste from EASE Focus Ver. [°] angle value." sqref="D4" xr:uid="{DBBD1E4C-D067-418B-991A-6B49874CC5AB}"/>
    <dataValidation allowBlank="1" showInputMessage="1" showErrorMessage="1" promptTitle="Compression status" prompt="[OK]: The Lever Hoist Force is sufficient to obtain the desired angles._x000a__x000a_[NOK]: The Lever Hoist Force is not sufficient to obtain the desired angles or the Lever Hoist Force is excessive." sqref="C27:D28" xr:uid="{94443DC3-F73E-481D-A620-DD1FBAFD8298}"/>
    <dataValidation allowBlank="1" showInputMessage="1" showErrorMessage="1" promptTitle="Configuration status" prompt="[OK]: If Global Safety Factor is &gt;4 and if Compression Check is [OK] on Compression Mode._x000a__x000a_[NOK]: If Global Safety Factor is &lt;4 or if Compression Check is [NOK] on Compression Mode." sqref="C32:D33" xr:uid="{CDBF6060-DC65-4BD4-B3C7-2475DE9A8728}"/>
    <dataValidation allowBlank="1" showInputMessage="1" showErrorMessage="1" promptTitle="Cables Weight [kg]" prompt="Estimated Cables Weight supported by the hanging point for the considered array cluster. Could be modified by the 'CablesWeight' Tab." sqref="C34:D34" xr:uid="{F97D73EB-4E84-4452-B3C7-7F8DE353444A}"/>
    <dataValidation allowBlank="1" showInputMessage="1" showErrorMessage="1" promptTitle="Cluster Weight [kg]" prompt="Global weight supported by the hanging point, considering bumper weight + loudspeakers weight + cables weight." sqref="C35:D35" xr:uid="{3D248275-F810-44A8-ACC0-C74C18DAA6FF}"/>
    <dataValidation allowBlank="1" showInputMessage="1" showErrorMessage="1" promptTitle="Safety Factor" prompt="Should only be &gt;4." sqref="C29:D31" xr:uid="{FB76F90E-5D4A-471B-9B5B-5DDDFF46CD02}"/>
  </dataValidations>
  <pageMargins left="0.7" right="0.7" top="0.75" bottom="0.75" header="0.3" footer="0.3"/>
  <pageSetup paperSize="9" scale="8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422A55-46E4-4F0D-BD6E-A8C799F48F3B}">
  <dimension ref="A1:C23"/>
  <sheetViews>
    <sheetView zoomScale="90" zoomScaleNormal="90" zoomScaleSheetLayoutView="110" workbookViewId="0">
      <selection activeCell="C1" sqref="C1"/>
    </sheetView>
  </sheetViews>
  <sheetFormatPr baseColWidth="10" defaultColWidth="11.42578125" defaultRowHeight="15" x14ac:dyDescent="0.25"/>
  <cols>
    <col min="1" max="1" width="28" style="1" bestFit="1" customWidth="1"/>
    <col min="2" max="2" width="29" style="1" bestFit="1" customWidth="1"/>
    <col min="3" max="3" width="19.85546875" style="1" bestFit="1" customWidth="1"/>
    <col min="4" max="16384" width="11.42578125" style="1"/>
  </cols>
  <sheetData>
    <row r="1" spans="1:3" ht="16.5" thickTop="1" thickBot="1" x14ac:dyDescent="0.3">
      <c r="A1" s="37" t="s">
        <v>14</v>
      </c>
      <c r="B1" s="36" t="s">
        <v>15</v>
      </c>
    </row>
    <row r="2" spans="1:3" ht="15.75" thickBot="1" x14ac:dyDescent="0.3"/>
    <row r="3" spans="1:3" ht="15.75" thickBot="1" x14ac:dyDescent="0.3">
      <c r="A3" s="28" t="s">
        <v>43</v>
      </c>
      <c r="B3" s="19" t="s">
        <v>17</v>
      </c>
      <c r="C3" s="29" t="s">
        <v>18</v>
      </c>
    </row>
    <row r="4" spans="1:3" ht="15.75" thickTop="1" x14ac:dyDescent="0.25">
      <c r="A4" s="30" t="s">
        <v>44</v>
      </c>
      <c r="B4" s="23">
        <v>4</v>
      </c>
      <c r="C4" s="38">
        <f>B4*CablesWeightData!C5</f>
        <v>0.36</v>
      </c>
    </row>
    <row r="5" spans="1:3" x14ac:dyDescent="0.25">
      <c r="A5" s="31" t="s">
        <v>45</v>
      </c>
      <c r="B5" s="24">
        <v>0</v>
      </c>
      <c r="C5" s="39">
        <f>B5*CablesWeightData!C6</f>
        <v>0</v>
      </c>
    </row>
    <row r="6" spans="1:3" x14ac:dyDescent="0.25">
      <c r="A6" s="31" t="s">
        <v>42</v>
      </c>
      <c r="B6" s="24">
        <v>0</v>
      </c>
      <c r="C6" s="39">
        <f>B6*CablesWeightData!C7</f>
        <v>0</v>
      </c>
    </row>
    <row r="7" spans="1:3" x14ac:dyDescent="0.25">
      <c r="A7" s="31" t="s">
        <v>46</v>
      </c>
      <c r="B7" s="24">
        <v>0</v>
      </c>
      <c r="C7" s="39">
        <f>B7*CablesWeightData!C8</f>
        <v>0</v>
      </c>
    </row>
    <row r="8" spans="1:3" ht="15.75" thickBot="1" x14ac:dyDescent="0.3">
      <c r="A8" s="32" t="s">
        <v>47</v>
      </c>
      <c r="B8" s="25">
        <v>0</v>
      </c>
      <c r="C8" s="40">
        <f>B8*CablesWeightData!C9</f>
        <v>0</v>
      </c>
    </row>
    <row r="9" spans="1:3" x14ac:dyDescent="0.25">
      <c r="A9" s="30" t="s">
        <v>48</v>
      </c>
      <c r="B9" s="26">
        <v>4</v>
      </c>
      <c r="C9" s="38">
        <f>B9*CablesWeightData!D7</f>
        <v>5.2</v>
      </c>
    </row>
    <row r="10" spans="1:3" x14ac:dyDescent="0.25">
      <c r="A10" s="31" t="s">
        <v>49</v>
      </c>
      <c r="B10" s="24">
        <v>0</v>
      </c>
      <c r="C10" s="41">
        <f>B10*CablesWeightData!D8</f>
        <v>0</v>
      </c>
    </row>
    <row r="11" spans="1:3" ht="15.75" thickBot="1" x14ac:dyDescent="0.3">
      <c r="A11" s="32" t="s">
        <v>50</v>
      </c>
      <c r="B11" s="25">
        <v>0</v>
      </c>
      <c r="C11" s="42">
        <f>B11*CablesWeightData!D9</f>
        <v>0</v>
      </c>
    </row>
    <row r="12" spans="1:3" x14ac:dyDescent="0.25">
      <c r="A12" s="30" t="s">
        <v>51</v>
      </c>
      <c r="B12" s="26">
        <v>0</v>
      </c>
      <c r="C12" s="38">
        <f>B12*CablesWeightData!E7</f>
        <v>0</v>
      </c>
    </row>
    <row r="13" spans="1:3" x14ac:dyDescent="0.25">
      <c r="A13" s="31" t="s">
        <v>52</v>
      </c>
      <c r="B13" s="24">
        <v>0</v>
      </c>
      <c r="C13" s="41">
        <f>B13*CablesWeightData!E8</f>
        <v>0</v>
      </c>
    </row>
    <row r="14" spans="1:3" ht="15.75" thickBot="1" x14ac:dyDescent="0.3">
      <c r="A14" s="32" t="s">
        <v>53</v>
      </c>
      <c r="B14" s="25">
        <v>0</v>
      </c>
      <c r="C14" s="42">
        <f>B14*CablesWeightData!E9</f>
        <v>0</v>
      </c>
    </row>
    <row r="15" spans="1:3" x14ac:dyDescent="0.25">
      <c r="A15" s="30" t="s">
        <v>54</v>
      </c>
      <c r="B15" s="26">
        <v>0</v>
      </c>
      <c r="C15" s="38">
        <f>B15*CablesWeightData!F7</f>
        <v>0</v>
      </c>
    </row>
    <row r="16" spans="1:3" x14ac:dyDescent="0.25">
      <c r="A16" s="31" t="s">
        <v>55</v>
      </c>
      <c r="B16" s="24">
        <v>2</v>
      </c>
      <c r="C16" s="41">
        <f>B16*CablesWeightData!F8</f>
        <v>9.8000000000000007</v>
      </c>
    </row>
    <row r="17" spans="1:3" ht="15.75" thickBot="1" x14ac:dyDescent="0.3">
      <c r="A17" s="32" t="s">
        <v>56</v>
      </c>
      <c r="B17" s="27">
        <v>0</v>
      </c>
      <c r="C17" s="42">
        <f>B17*CablesWeightData!F9</f>
        <v>0</v>
      </c>
    </row>
    <row r="18" spans="1:3" ht="15.75" thickBot="1" x14ac:dyDescent="0.3"/>
    <row r="19" spans="1:3" ht="15.75" thickBot="1" x14ac:dyDescent="0.3">
      <c r="A19" s="33" t="s">
        <v>38</v>
      </c>
      <c r="B19" s="35" t="s">
        <v>39</v>
      </c>
      <c r="C19" s="33" t="s">
        <v>18</v>
      </c>
    </row>
    <row r="20" spans="1:3" ht="16.5" thickTop="1" thickBot="1" x14ac:dyDescent="0.3">
      <c r="A20" s="34" t="s">
        <v>37</v>
      </c>
      <c r="B20" s="22">
        <v>3</v>
      </c>
      <c r="C20" s="42">
        <f>$B$20*CablesWeightData!$J$11</f>
        <v>3.3000000000000003</v>
      </c>
    </row>
    <row r="21" spans="1:3" ht="16.5" thickTop="1" thickBot="1" x14ac:dyDescent="0.3">
      <c r="B21" s="44"/>
    </row>
    <row r="22" spans="1:3" ht="16.5" thickTop="1" thickBot="1" x14ac:dyDescent="0.3">
      <c r="B22" s="45" t="s">
        <v>36</v>
      </c>
      <c r="C22" s="43">
        <f>SUM($C$4:$C$21)</f>
        <v>18.66</v>
      </c>
    </row>
    <row r="23" spans="1:3" ht="15.75" thickTop="1" x14ac:dyDescent="0.25"/>
  </sheetData>
  <sheetProtection algorithmName="SHA-512" hashValue="uhO+asGd2FenkIqWoyfi5StzFDsklJvn13gRjk0yqJFJZ9P+k6+I0cqcHRbfzaSXtz2T1pIhXqJjTBJeg86pTg==" saltValue="pFwLqPDXnNvzFeXRTHt7Kw==" spinCount="100000" sheet="1" objects="1" scenarios="1"/>
  <protectedRanges>
    <protectedRange sqref="B1 B4:B17 B20" name="Plage1"/>
  </protectedRanges>
  <dataValidations count="1">
    <dataValidation allowBlank="1" showInputMessage="1" showErrorMessage="1" promptTitle="[Optional]" prompt="Type the name of the concerned array cluster." sqref="B1" xr:uid="{B7E2BEAA-2133-46E1-8F17-906A3E11B7B0}"/>
  </dataValidations>
  <pageMargins left="0.7" right="0.7" top="0.75" bottom="0.75" header="0.3" footer="0.3"/>
  <pageSetup paperSize="9" scale="97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2C8477-0F92-4722-90FB-BDE9F61774BF}">
  <dimension ref="B2:L18"/>
  <sheetViews>
    <sheetView workbookViewId="0">
      <selection activeCell="C14" sqref="C14"/>
    </sheetView>
  </sheetViews>
  <sheetFormatPr baseColWidth="10" defaultColWidth="11.42578125" defaultRowHeight="15" x14ac:dyDescent="0.25"/>
  <cols>
    <col min="1" max="1" width="11.42578125" style="2"/>
    <col min="2" max="2" width="15.7109375" style="2" bestFit="1" customWidth="1"/>
    <col min="3" max="7" width="21.7109375" style="2" bestFit="1" customWidth="1"/>
    <col min="8" max="8" width="5.5703125" style="2" bestFit="1" customWidth="1"/>
    <col min="9" max="9" width="18" style="2" bestFit="1" customWidth="1"/>
    <col min="10" max="12" width="17.42578125" style="2" bestFit="1" customWidth="1"/>
    <col min="13" max="13" width="13.85546875" style="2" bestFit="1" customWidth="1"/>
    <col min="14" max="16384" width="11.42578125" style="2"/>
  </cols>
  <sheetData>
    <row r="2" spans="2:12" x14ac:dyDescent="0.25">
      <c r="H2" s="3" t="s">
        <v>19</v>
      </c>
      <c r="I2" s="4"/>
      <c r="J2" s="4"/>
    </row>
    <row r="3" spans="2:12" x14ac:dyDescent="0.25">
      <c r="B3" s="5"/>
      <c r="C3" s="5" t="s">
        <v>20</v>
      </c>
      <c r="D3" s="5" t="s">
        <v>21</v>
      </c>
      <c r="E3" s="5" t="s">
        <v>40</v>
      </c>
      <c r="F3" s="5" t="s">
        <v>41</v>
      </c>
      <c r="H3" s="4"/>
      <c r="I3" s="4" t="s">
        <v>22</v>
      </c>
      <c r="J3" s="4"/>
    </row>
    <row r="4" spans="2:12" x14ac:dyDescent="0.25">
      <c r="B4" s="5" t="s">
        <v>16</v>
      </c>
      <c r="C4" s="5" t="s">
        <v>23</v>
      </c>
      <c r="D4" s="5" t="s">
        <v>23</v>
      </c>
      <c r="E4" s="5" t="s">
        <v>23</v>
      </c>
      <c r="F4" s="5" t="s">
        <v>23</v>
      </c>
      <c r="H4" s="4"/>
      <c r="I4" s="6" t="s">
        <v>34</v>
      </c>
      <c r="J4" s="6" t="s">
        <v>35</v>
      </c>
      <c r="K4" s="6" t="s">
        <v>29</v>
      </c>
      <c r="L4" s="6" t="s">
        <v>30</v>
      </c>
    </row>
    <row r="5" spans="2:12" x14ac:dyDescent="0.25">
      <c r="B5" s="5">
        <v>0.5</v>
      </c>
      <c r="C5" s="5">
        <f>B5*$I$7</f>
        <v>0.09</v>
      </c>
      <c r="D5" s="5">
        <f>B5*$J$7</f>
        <v>0.13</v>
      </c>
      <c r="E5" s="5">
        <f>B5*$K$7</f>
        <v>0.17</v>
      </c>
      <c r="F5" s="5">
        <f>B5*$L$7</f>
        <v>0.245</v>
      </c>
      <c r="H5" s="4"/>
      <c r="I5" s="6" t="s">
        <v>24</v>
      </c>
      <c r="J5" s="6" t="s">
        <v>25</v>
      </c>
      <c r="K5" s="6" t="s">
        <v>31</v>
      </c>
      <c r="L5" s="6" t="s">
        <v>32</v>
      </c>
    </row>
    <row r="6" spans="2:12" x14ac:dyDescent="0.25">
      <c r="B6" s="5">
        <v>1</v>
      </c>
      <c r="C6" s="5">
        <f t="shared" ref="C6:C9" si="0">B6*$I$7</f>
        <v>0.18</v>
      </c>
      <c r="D6" s="5">
        <f t="shared" ref="D6:D9" si="1">B6*$J$7</f>
        <v>0.26</v>
      </c>
      <c r="E6" s="5">
        <f t="shared" ref="E6:E9" si="2">B6*$K$7</f>
        <v>0.34</v>
      </c>
      <c r="F6" s="5">
        <f t="shared" ref="F6:F9" si="3">B6*$L$7</f>
        <v>0.49</v>
      </c>
      <c r="H6" s="4"/>
      <c r="I6" s="6" t="s">
        <v>33</v>
      </c>
      <c r="J6" s="6" t="s">
        <v>33</v>
      </c>
      <c r="K6" s="6" t="s">
        <v>33</v>
      </c>
      <c r="L6" s="6" t="s">
        <v>33</v>
      </c>
    </row>
    <row r="7" spans="2:12" x14ac:dyDescent="0.25">
      <c r="B7" s="5">
        <v>5</v>
      </c>
      <c r="C7" s="5">
        <f t="shared" si="0"/>
        <v>0.89999999999999991</v>
      </c>
      <c r="D7" s="5">
        <f t="shared" si="1"/>
        <v>1.3</v>
      </c>
      <c r="E7" s="5">
        <f t="shared" si="2"/>
        <v>1.7000000000000002</v>
      </c>
      <c r="F7" s="5">
        <f t="shared" si="3"/>
        <v>2.4500000000000002</v>
      </c>
      <c r="H7" s="4"/>
      <c r="I7" s="6">
        <v>0.18</v>
      </c>
      <c r="J7" s="6">
        <v>0.26</v>
      </c>
      <c r="K7" s="6">
        <v>0.34</v>
      </c>
      <c r="L7" s="6">
        <v>0.49</v>
      </c>
    </row>
    <row r="8" spans="2:12" x14ac:dyDescent="0.25">
      <c r="B8" s="5">
        <v>10</v>
      </c>
      <c r="C8" s="5">
        <f t="shared" si="0"/>
        <v>1.7999999999999998</v>
      </c>
      <c r="D8" s="5">
        <f t="shared" si="1"/>
        <v>2.6</v>
      </c>
      <c r="E8" s="5">
        <f t="shared" si="2"/>
        <v>3.4000000000000004</v>
      </c>
      <c r="F8" s="5">
        <f t="shared" si="3"/>
        <v>4.9000000000000004</v>
      </c>
      <c r="H8" s="4"/>
      <c r="I8" s="4"/>
      <c r="J8" s="4"/>
    </row>
    <row r="9" spans="2:12" x14ac:dyDescent="0.25">
      <c r="B9" s="5">
        <v>20</v>
      </c>
      <c r="C9" s="5">
        <f t="shared" si="0"/>
        <v>3.5999999999999996</v>
      </c>
      <c r="D9" s="5">
        <f t="shared" si="1"/>
        <v>5.2</v>
      </c>
      <c r="E9" s="5">
        <f t="shared" si="2"/>
        <v>6.8000000000000007</v>
      </c>
      <c r="F9" s="5">
        <f t="shared" si="3"/>
        <v>9.8000000000000007</v>
      </c>
      <c r="H9" s="4"/>
      <c r="I9" s="4" t="s">
        <v>27</v>
      </c>
      <c r="J9" s="4"/>
    </row>
    <row r="10" spans="2:12" x14ac:dyDescent="0.25">
      <c r="H10" s="4"/>
      <c r="I10" s="4" t="s">
        <v>28</v>
      </c>
      <c r="J10" s="4" t="s">
        <v>26</v>
      </c>
    </row>
    <row r="11" spans="2:12" x14ac:dyDescent="0.25">
      <c r="H11" s="4"/>
      <c r="I11" s="4"/>
      <c r="J11" s="4">
        <v>1.1000000000000001</v>
      </c>
    </row>
    <row r="12" spans="2:12" x14ac:dyDescent="0.25">
      <c r="H12" s="4"/>
      <c r="I12" s="4"/>
      <c r="J12" s="4"/>
    </row>
    <row r="13" spans="2:12" x14ac:dyDescent="0.25">
      <c r="H13" s="4"/>
      <c r="I13" s="4"/>
      <c r="J13" s="4"/>
    </row>
    <row r="14" spans="2:12" x14ac:dyDescent="0.25">
      <c r="H14" s="4"/>
      <c r="I14" s="4"/>
      <c r="J14" s="4"/>
    </row>
    <row r="15" spans="2:12" x14ac:dyDescent="0.25">
      <c r="H15" s="4"/>
      <c r="I15" s="6"/>
      <c r="J15" s="6"/>
    </row>
    <row r="16" spans="2:12" x14ac:dyDescent="0.25">
      <c r="H16" s="4"/>
      <c r="I16" s="6"/>
      <c r="J16" s="6"/>
    </row>
    <row r="17" spans="8:10" x14ac:dyDescent="0.25">
      <c r="H17" s="4"/>
      <c r="I17" s="6"/>
      <c r="J17" s="6"/>
    </row>
    <row r="18" spans="8:10" x14ac:dyDescent="0.25">
      <c r="H18" s="4"/>
      <c r="I18" s="6"/>
      <c r="J18" s="6"/>
    </row>
  </sheetData>
  <sheetProtection algorithmName="SHA-512" hashValue="geAKkieD2o3T236clxSQDKktyB1RdUloUviB9oODZiKiuw5/W8JzsXnShi6h7gzGI7ULUws4tMchP8SI8R6hNQ==" saltValue="DKEVBxYFpqZq8O3rP+9Bvw==" spinCount="100000" sheet="1" objects="1" scenarios="1" selectLockedCells="1" selectUnlockedCell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3</vt:i4>
      </vt:variant>
    </vt:vector>
  </HeadingPairs>
  <TitlesOfParts>
    <vt:vector size="8" baseType="lpstr">
      <vt:lpstr>FR- Notice</vt:lpstr>
      <vt:lpstr>EN-User Manual</vt:lpstr>
      <vt:lpstr>UMCalc</vt:lpstr>
      <vt:lpstr>CablesWeight</vt:lpstr>
      <vt:lpstr>CablesWeightData</vt:lpstr>
      <vt:lpstr>CablesWeight!Zone_d_impression</vt:lpstr>
      <vt:lpstr>CablesWeightData!Zone_d_impression</vt:lpstr>
      <vt:lpstr>UMCalc!Zone_d_impression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APG</dc:creator>
  <cp:lastModifiedBy>Loïc RAVAZY</cp:lastModifiedBy>
  <cp:lastPrinted>2025-10-10T12:00:22Z</cp:lastPrinted>
  <dcterms:created xsi:type="dcterms:W3CDTF">2024-10-09T08:19:30Z</dcterms:created>
  <dcterms:modified xsi:type="dcterms:W3CDTF">2025-11-17T15:19:34Z</dcterms:modified>
</cp:coreProperties>
</file>